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tables/table46.xml" ContentType="application/vnd.openxmlformats-officedocument.spreadsheetml.table+xml"/>
  <Override PartName="/xl/tables/table47.xml" ContentType="application/vnd.openxmlformats-officedocument.spreadsheetml.table+xml"/>
  <Override PartName="/xl/tables/table48.xml" ContentType="application/vnd.openxmlformats-officedocument.spreadsheetml.table+xml"/>
  <Override PartName="/xl/tables/table49.xml" ContentType="application/vnd.openxmlformats-officedocument.spreadsheetml.table+xml"/>
  <Override PartName="/xl/tables/table50.xml" ContentType="application/vnd.openxmlformats-officedocument.spreadsheetml.table+xml"/>
  <Override PartName="/xl/tables/table51.xml" ContentType="application/vnd.openxmlformats-officedocument.spreadsheetml.table+xml"/>
  <Override PartName="/xl/tables/table52.xml" ContentType="application/vnd.openxmlformats-officedocument.spreadsheetml.table+xml"/>
  <Override PartName="/xl/tables/table53.xml" ContentType="application/vnd.openxmlformats-officedocument.spreadsheetml.table+xml"/>
  <Override PartName="/xl/tables/table54.xml" ContentType="application/vnd.openxmlformats-officedocument.spreadsheetml.table+xml"/>
  <Override PartName="/xl/tables/table55.xml" ContentType="application/vnd.openxmlformats-officedocument.spreadsheetml.table+xml"/>
  <Override PartName="/xl/tables/table56.xml" ContentType="application/vnd.openxmlformats-officedocument.spreadsheetml.table+xml"/>
  <Override PartName="/xl/tables/table57.xml" ContentType="application/vnd.openxmlformats-officedocument.spreadsheetml.table+xml"/>
  <Override PartName="/xl/tables/table58.xml" ContentType="application/vnd.openxmlformats-officedocument.spreadsheetml.table+xml"/>
  <Override PartName="/xl/tables/table59.xml" ContentType="application/vnd.openxmlformats-officedocument.spreadsheetml.table+xml"/>
  <Override PartName="/xl/tables/table60.xml" ContentType="application/vnd.openxmlformats-officedocument.spreadsheetml.table+xml"/>
  <Override PartName="/xl/tables/table61.xml" ContentType="application/vnd.openxmlformats-officedocument.spreadsheetml.table+xml"/>
  <Override PartName="/xl/tables/table62.xml" ContentType="application/vnd.openxmlformats-officedocument.spreadsheetml.table+xml"/>
  <Override PartName="/xl/tables/table63.xml" ContentType="application/vnd.openxmlformats-officedocument.spreadsheetml.table+xml"/>
  <Override PartName="/xl/tables/table64.xml" ContentType="application/vnd.openxmlformats-officedocument.spreadsheetml.table+xml"/>
  <Override PartName="/xl/tables/table65.xml" ContentType="application/vnd.openxmlformats-officedocument.spreadsheetml.table+xml"/>
  <Override PartName="/xl/tables/table66.xml" ContentType="application/vnd.openxmlformats-officedocument.spreadsheetml.table+xml"/>
  <Override PartName="/xl/tables/table67.xml" ContentType="application/vnd.openxmlformats-officedocument.spreadsheetml.table+xml"/>
  <Override PartName="/xl/tables/table68.xml" ContentType="application/vnd.openxmlformats-officedocument.spreadsheetml.table+xml"/>
  <Override PartName="/xl/tables/table69.xml" ContentType="application/vnd.openxmlformats-officedocument.spreadsheetml.table+xml"/>
  <Override PartName="/xl/tables/table70.xml" ContentType="application/vnd.openxmlformats-officedocument.spreadsheetml.table+xml"/>
  <Override PartName="/xl/tables/table71.xml" ContentType="application/vnd.openxmlformats-officedocument.spreadsheetml.table+xml"/>
  <Override PartName="/xl/tables/table72.xml" ContentType="application/vnd.openxmlformats-officedocument.spreadsheetml.table+xml"/>
  <Override PartName="/xl/tables/table73.xml" ContentType="application/vnd.openxmlformats-officedocument.spreadsheetml.table+xml"/>
  <Override PartName="/xl/tables/table74.xml" ContentType="application/vnd.openxmlformats-officedocument.spreadsheetml.table+xml"/>
  <Override PartName="/xl/tables/table75.xml" ContentType="application/vnd.openxmlformats-officedocument.spreadsheetml.table+xml"/>
  <Override PartName="/xl/tables/table76.xml" ContentType="application/vnd.openxmlformats-officedocument.spreadsheetml.table+xml"/>
  <Override PartName="/xl/tables/table77.xml" ContentType="application/vnd.openxmlformats-officedocument.spreadsheetml.table+xml"/>
  <Override PartName="/xl/tables/table78.xml" ContentType="application/vnd.openxmlformats-officedocument.spreadsheetml.table+xml"/>
  <Override PartName="/xl/tables/table79.xml" ContentType="application/vnd.openxmlformats-officedocument.spreadsheetml.table+xml"/>
  <Override PartName="/xl/tables/table80.xml" ContentType="application/vnd.openxmlformats-officedocument.spreadsheetml.table+xml"/>
  <Override PartName="/xl/tables/table81.xml" ContentType="application/vnd.openxmlformats-officedocument.spreadsheetml.table+xml"/>
  <Override PartName="/xl/tables/table82.xml" ContentType="application/vnd.openxmlformats-officedocument.spreadsheetml.table+xml"/>
  <Override PartName="/xl/tables/table83.xml" ContentType="application/vnd.openxmlformats-officedocument.spreadsheetml.table+xml"/>
  <Override PartName="/xl/tables/table84.xml" ContentType="application/vnd.openxmlformats-officedocument.spreadsheetml.table+xml"/>
  <Override PartName="/xl/tables/table85.xml" ContentType="application/vnd.openxmlformats-officedocument.spreadsheetml.table+xml"/>
  <Override PartName="/xl/tables/table86.xml" ContentType="application/vnd.openxmlformats-officedocument.spreadsheetml.table+xml"/>
  <Override PartName="/xl/tables/table87.xml" ContentType="application/vnd.openxmlformats-officedocument.spreadsheetml.table+xml"/>
  <Override PartName="/xl/tables/table88.xml" ContentType="application/vnd.openxmlformats-officedocument.spreadsheetml.table+xml"/>
  <Override PartName="/xl/tables/table89.xml" ContentType="application/vnd.openxmlformats-officedocument.spreadsheetml.table+xml"/>
  <Override PartName="/xl/tables/table90.xml" ContentType="application/vnd.openxmlformats-officedocument.spreadsheetml.table+xml"/>
  <Override PartName="/xl/tables/table91.xml" ContentType="application/vnd.openxmlformats-officedocument.spreadsheetml.table+xml"/>
  <Override PartName="/xl/tables/table92.xml" ContentType="application/vnd.openxmlformats-officedocument.spreadsheetml.table+xml"/>
  <Override PartName="/xl/tables/table93.xml" ContentType="application/vnd.openxmlformats-officedocument.spreadsheetml.table+xml"/>
  <Override PartName="/xl/tables/table94.xml" ContentType="application/vnd.openxmlformats-officedocument.spreadsheetml.table+xml"/>
  <Override PartName="/xl/tables/table95.xml" ContentType="application/vnd.openxmlformats-officedocument.spreadsheetml.table+xml"/>
  <Override PartName="/xl/tables/table96.xml" ContentType="application/vnd.openxmlformats-officedocument.spreadsheetml.table+xml"/>
  <Override PartName="/xl/tables/table97.xml" ContentType="application/vnd.openxmlformats-officedocument.spreadsheetml.table+xml"/>
  <Override PartName="/xl/tables/table98.xml" ContentType="application/vnd.openxmlformats-officedocument.spreadsheetml.table+xml"/>
  <Override PartName="/xl/tables/table99.xml" ContentType="application/vnd.openxmlformats-officedocument.spreadsheetml.table+xml"/>
  <Override PartName="/xl/tables/table100.xml" ContentType="application/vnd.openxmlformats-officedocument.spreadsheetml.table+xml"/>
  <Override PartName="/xl/tables/table101.xml" ContentType="application/vnd.openxmlformats-officedocument.spreadsheetml.table+xml"/>
  <Override PartName="/xl/tables/table102.xml" ContentType="application/vnd.openxmlformats-officedocument.spreadsheetml.table+xml"/>
  <Override PartName="/xl/tables/table103.xml" ContentType="application/vnd.openxmlformats-officedocument.spreadsheetml.table+xml"/>
  <Override PartName="/xl/tables/table104.xml" ContentType="application/vnd.openxmlformats-officedocument.spreadsheetml.table+xml"/>
  <Override PartName="/xl/tables/table105.xml" ContentType="application/vnd.openxmlformats-officedocument.spreadsheetml.table+xml"/>
  <Override PartName="/xl/tables/table106.xml" ContentType="application/vnd.openxmlformats-officedocument.spreadsheetml.table+xml"/>
  <Override PartName="/xl/tables/table107.xml" ContentType="application/vnd.openxmlformats-officedocument.spreadsheetml.table+xml"/>
  <Override PartName="/xl/tables/table108.xml" ContentType="application/vnd.openxmlformats-officedocument.spreadsheetml.table+xml"/>
  <Override PartName="/xl/tables/table109.xml" ContentType="application/vnd.openxmlformats-officedocument.spreadsheetml.table+xml"/>
  <Override PartName="/xl/tables/table110.xml" ContentType="application/vnd.openxmlformats-officedocument.spreadsheetml.table+xml"/>
  <Override PartName="/xl/tables/table111.xml" ContentType="application/vnd.openxmlformats-officedocument.spreadsheetml.table+xml"/>
  <Override PartName="/xl/tables/table112.xml" ContentType="application/vnd.openxmlformats-officedocument.spreadsheetml.table+xml"/>
  <Override PartName="/xl/tables/table113.xml" ContentType="application/vnd.openxmlformats-officedocument.spreadsheetml.table+xml"/>
  <Override PartName="/xl/tables/table114.xml" ContentType="application/vnd.openxmlformats-officedocument.spreadsheetml.table+xml"/>
  <Override PartName="/xl/tables/table115.xml" ContentType="application/vnd.openxmlformats-officedocument.spreadsheetml.table+xml"/>
  <Override PartName="/xl/tables/table116.xml" ContentType="application/vnd.openxmlformats-officedocument.spreadsheetml.table+xml"/>
  <Override PartName="/xl/tables/table117.xml" ContentType="application/vnd.openxmlformats-officedocument.spreadsheetml.table+xml"/>
  <Override PartName="/xl/tables/table118.xml" ContentType="application/vnd.openxmlformats-officedocument.spreadsheetml.table+xml"/>
  <Override PartName="/xl/tables/table119.xml" ContentType="application/vnd.openxmlformats-officedocument.spreadsheetml.table+xml"/>
  <Override PartName="/xl/tables/table120.xml" ContentType="application/vnd.openxmlformats-officedocument.spreadsheetml.table+xml"/>
  <Override PartName="/xl/tables/table121.xml" ContentType="application/vnd.openxmlformats-officedocument.spreadsheetml.table+xml"/>
  <Override PartName="/xl/tables/table122.xml" ContentType="application/vnd.openxmlformats-officedocument.spreadsheetml.table+xml"/>
  <Override PartName="/xl/tables/table123.xml" ContentType="application/vnd.openxmlformats-officedocument.spreadsheetml.table+xml"/>
  <Override PartName="/xl/tables/table124.xml" ContentType="application/vnd.openxmlformats-officedocument.spreadsheetml.table+xml"/>
  <Override PartName="/xl/tables/table125.xml" ContentType="application/vnd.openxmlformats-officedocument.spreadsheetml.table+xml"/>
  <Override PartName="/xl/tables/table126.xml" ContentType="application/vnd.openxmlformats-officedocument.spreadsheetml.table+xml"/>
  <Override PartName="/xl/tables/table127.xml" ContentType="application/vnd.openxmlformats-officedocument.spreadsheetml.table+xml"/>
  <Override PartName="/xl/tables/table128.xml" ContentType="application/vnd.openxmlformats-officedocument.spreadsheetml.table+xml"/>
  <Override PartName="/xl/tables/table129.xml" ContentType="application/vnd.openxmlformats-officedocument.spreadsheetml.table+xml"/>
  <Override PartName="/xl/tables/table130.xml" ContentType="application/vnd.openxmlformats-officedocument.spreadsheetml.table+xml"/>
  <Override PartName="/xl/tables/table131.xml" ContentType="application/vnd.openxmlformats-officedocument.spreadsheetml.table+xml"/>
  <Override PartName="/xl/tables/table132.xml" ContentType="application/vnd.openxmlformats-officedocument.spreadsheetml.table+xml"/>
  <Override PartName="/xl/tables/table133.xml" ContentType="application/vnd.openxmlformats-officedocument.spreadsheetml.table+xml"/>
  <Override PartName="/xl/tables/table134.xml" ContentType="application/vnd.openxmlformats-officedocument.spreadsheetml.table+xml"/>
  <Override PartName="/xl/tables/table13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kinewbrunswick-my.sharepoint.com/personal/execdir_skinb_ca/Documents/Documents/Policies Procedures Insurance/Athlete Policies/2025_26/"/>
    </mc:Choice>
  </mc:AlternateContent>
  <xr:revisionPtr revIDLastSave="0" documentId="8_{65B3C65D-957D-4AB8-89C6-03B2C63D14F2}" xr6:coauthVersionLast="47" xr6:coauthVersionMax="47" xr10:uidLastSave="{00000000-0000-0000-0000-000000000000}"/>
  <bookViews>
    <workbookView xWindow="-108" yWindow="-108" windowWidth="23256" windowHeight="12456" firstSheet="7" activeTab="7" xr2:uid="{51D9DF32-C0D5-4466-B178-5462E61E1644}"/>
  </bookViews>
  <sheets>
    <sheet name="NB Competitors" sheetId="1" r:id="rId1"/>
    <sheet name="PEI Competitors" sheetId="10" r:id="rId2"/>
    <sheet name="U12 Female" sheetId="38" r:id="rId3"/>
    <sheet name="U12 male" sheetId="39" r:id="rId4"/>
    <sheet name="U14 Female" sheetId="9" r:id="rId5"/>
    <sheet name="U14 male" sheetId="35" r:id="rId6"/>
    <sheet name="U16 Female" sheetId="36" r:id="rId7"/>
    <sheet name="U16 male" sheetId="37" r:id="rId8"/>
    <sheet name="U19 Female" sheetId="40" r:id="rId9"/>
    <sheet name="U19 male" sheetId="41" r:id="rId10"/>
    <sheet name="Poley SL 1 Female" sheetId="11" r:id="rId11"/>
    <sheet name="Poley SL 1 Male" sheetId="12" r:id="rId12"/>
    <sheet name="Poley SL 2 Female " sheetId="14" r:id="rId13"/>
    <sheet name="Poley SL 2 Male" sheetId="13" r:id="rId14"/>
    <sheet name="Crabbe SG Female" sheetId="15" r:id="rId15"/>
    <sheet name="Crabbe SG Male" sheetId="25" r:id="rId16"/>
    <sheet name="Crabbe GS1 Female" sheetId="27" r:id="rId17"/>
    <sheet name="Crabbe GS1 Male" sheetId="22" r:id="rId18"/>
    <sheet name="Crabbe GS2 Female" sheetId="26" r:id="rId19"/>
    <sheet name="Crabbe GS2 Male" sheetId="28" r:id="rId20"/>
    <sheet name="Farlagne GS Female" sheetId="21" r:id="rId21"/>
    <sheet name="Farlagne GS Male" sheetId="29" r:id="rId22"/>
    <sheet name="Farlagne SL Female" sheetId="23" r:id="rId23"/>
    <sheet name="Farlagne SL Male " sheetId="24" r:id="rId24"/>
    <sheet name="WC Pts" sheetId="8" r:id="rId2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Y3" i="37" l="1"/>
  <c r="AZ3" i="37"/>
  <c r="BA3" i="37"/>
  <c r="BB3" i="37"/>
  <c r="BC3" i="37"/>
  <c r="BD3" i="37"/>
  <c r="BE3" i="37"/>
  <c r="BF3" i="37"/>
  <c r="AP16" i="37"/>
  <c r="AQ16" i="37"/>
  <c r="AR16" i="37"/>
  <c r="AS16" i="37" a="1"/>
  <c r="AS16" i="37" s="1"/>
  <c r="AT16" i="37" a="1"/>
  <c r="AT16" i="37" s="1"/>
  <c r="AG16" i="37"/>
  <c r="AK16" i="37" s="1" a="1"/>
  <c r="AK16" i="37" s="1"/>
  <c r="AH16" i="37"/>
  <c r="AI16" i="37"/>
  <c r="AJ16" i="37" a="1"/>
  <c r="AJ16" i="37" s="1"/>
  <c r="V16" i="37"/>
  <c r="W16" i="37"/>
  <c r="X16" i="37"/>
  <c r="Y16" i="37"/>
  <c r="Z16" i="37"/>
  <c r="AA16" i="37"/>
  <c r="AB16" i="37" a="1"/>
  <c r="AB16" i="37" s="1"/>
  <c r="O16" i="37"/>
  <c r="P16" i="37"/>
  <c r="Q16" i="37" a="1"/>
  <c r="Q16" i="37"/>
  <c r="D16" i="37"/>
  <c r="E16" i="37"/>
  <c r="F16" i="37"/>
  <c r="G16" i="37"/>
  <c r="H16" i="37"/>
  <c r="I16" i="37"/>
  <c r="J16" i="37" a="1"/>
  <c r="J16" i="37" s="1"/>
  <c r="AY9" i="36"/>
  <c r="AY12" i="36"/>
  <c r="AY10" i="36"/>
  <c r="AZ9" i="36"/>
  <c r="AZ12" i="36"/>
  <c r="AZ10" i="36"/>
  <c r="BA9" i="36"/>
  <c r="BA12" i="36"/>
  <c r="BA10" i="36"/>
  <c r="BB9" i="36"/>
  <c r="BB12" i="36"/>
  <c r="BF12" i="36" s="1"/>
  <c r="BB10" i="36"/>
  <c r="BF10" i="36" s="1"/>
  <c r="BC9" i="36"/>
  <c r="BC12" i="36"/>
  <c r="BC10" i="36"/>
  <c r="BD9" i="36"/>
  <c r="BD12" i="36"/>
  <c r="BD10" i="36"/>
  <c r="BE9" i="36"/>
  <c r="BE12" i="36"/>
  <c r="BE10" i="36"/>
  <c r="BF9" i="36"/>
  <c r="AP13" i="36"/>
  <c r="AP14" i="36"/>
  <c r="AT14" i="36" s="1" a="1"/>
  <c r="AT14" i="36" s="1"/>
  <c r="AP15" i="36"/>
  <c r="AS15" i="36" s="1" a="1"/>
  <c r="AS15" i="36" s="1"/>
  <c r="AQ13" i="36"/>
  <c r="AS13" i="36" s="1" a="1"/>
  <c r="AS13" i="36" s="1"/>
  <c r="AQ14" i="36"/>
  <c r="AS14" i="36" s="1" a="1"/>
  <c r="AS14" i="36" s="1"/>
  <c r="AQ15" i="36"/>
  <c r="AR13" i="36"/>
  <c r="AR14" i="36"/>
  <c r="AR15" i="36"/>
  <c r="AT13" i="36" a="1"/>
  <c r="AT13" i="36"/>
  <c r="AG13" i="36"/>
  <c r="AG14" i="36"/>
  <c r="AG15" i="36"/>
  <c r="AJ15" i="36" s="1" a="1"/>
  <c r="AJ15" i="36" s="1"/>
  <c r="AH13" i="36"/>
  <c r="AK13" i="36" s="1" a="1"/>
  <c r="AK13" i="36" s="1"/>
  <c r="AH14" i="36"/>
  <c r="AH15" i="36"/>
  <c r="AI13" i="36"/>
  <c r="AI14" i="36"/>
  <c r="AK14" i="36" s="1" a="1"/>
  <c r="AK14" i="36" s="1"/>
  <c r="AI15" i="36"/>
  <c r="AK15" i="36" s="1" a="1"/>
  <c r="AK15" i="36" s="1"/>
  <c r="AJ13" i="36" a="1"/>
  <c r="AJ13" i="36" s="1"/>
  <c r="AJ14" i="36" a="1"/>
  <c r="AJ14" i="36" s="1"/>
  <c r="V13" i="36"/>
  <c r="V14" i="36"/>
  <c r="V15" i="36"/>
  <c r="W13" i="36"/>
  <c r="W14" i="36"/>
  <c r="W15" i="36"/>
  <c r="X13" i="36"/>
  <c r="AB13" i="36" s="1" a="1"/>
  <c r="AB13" i="36" s="1"/>
  <c r="X14" i="36"/>
  <c r="X15" i="36"/>
  <c r="Y13" i="36"/>
  <c r="Y14" i="36"/>
  <c r="AB14" i="36" s="1" a="1"/>
  <c r="AB14" i="36" s="1"/>
  <c r="Y15" i="36"/>
  <c r="AB15" i="36" s="1" a="1"/>
  <c r="AB15" i="36" s="1"/>
  <c r="Z13" i="36"/>
  <c r="Z14" i="36"/>
  <c r="Z15" i="36"/>
  <c r="AA13" i="36"/>
  <c r="AA14" i="36"/>
  <c r="AA15" i="36"/>
  <c r="O13" i="36"/>
  <c r="O14" i="36"/>
  <c r="O15" i="36"/>
  <c r="P13" i="36"/>
  <c r="Q13" i="36" s="1" a="1"/>
  <c r="Q13" i="36" s="1"/>
  <c r="P14" i="36"/>
  <c r="P15" i="36"/>
  <c r="Q14" i="36" a="1"/>
  <c r="Q14" i="36" s="1"/>
  <c r="Q15" i="36" a="1"/>
  <c r="Q15" i="36" s="1"/>
  <c r="D13" i="36"/>
  <c r="J13" i="36" s="1" a="1"/>
  <c r="J13" i="36" s="1"/>
  <c r="D14" i="36"/>
  <c r="D15" i="36"/>
  <c r="E13" i="36"/>
  <c r="E14" i="36"/>
  <c r="E15" i="36"/>
  <c r="F13" i="36"/>
  <c r="F14" i="36"/>
  <c r="J14" i="36" s="1" a="1"/>
  <c r="J14" i="36" s="1"/>
  <c r="F15" i="36"/>
  <c r="G13" i="36"/>
  <c r="G14" i="36"/>
  <c r="G15" i="36"/>
  <c r="J15" i="36" s="1" a="1"/>
  <c r="J15" i="36" s="1"/>
  <c r="H13" i="36"/>
  <c r="H14" i="36"/>
  <c r="H15" i="36"/>
  <c r="I13" i="36"/>
  <c r="I14" i="36"/>
  <c r="I15" i="36"/>
  <c r="C148" i="1"/>
  <c r="C207" i="1"/>
  <c r="C113" i="1"/>
  <c r="C114" i="1"/>
  <c r="C170" i="1"/>
  <c r="C230" i="1"/>
  <c r="C118" i="1"/>
  <c r="C173" i="1"/>
  <c r="C5" i="1"/>
  <c r="C64" i="1"/>
  <c r="C6" i="1"/>
  <c r="C45" i="1"/>
  <c r="C82" i="1"/>
  <c r="C200" i="1"/>
  <c r="C210" i="1"/>
  <c r="C83" i="1"/>
  <c r="C12" i="1"/>
  <c r="C189" i="1"/>
  <c r="C15" i="1"/>
  <c r="C69" i="1"/>
  <c r="C216" i="1"/>
  <c r="C48" i="1"/>
  <c r="C51" i="1"/>
  <c r="C191" i="1"/>
  <c r="C163" i="1"/>
  <c r="C25" i="1"/>
  <c r="C135" i="1"/>
  <c r="C107" i="1"/>
  <c r="C87" i="1"/>
  <c r="C137" i="1"/>
  <c r="C31" i="1"/>
  <c r="C193" i="1"/>
  <c r="C98" i="1"/>
  <c r="C141" i="1"/>
  <c r="C142" i="1"/>
  <c r="C195" i="1"/>
  <c r="C229" i="1"/>
  <c r="C146" i="1"/>
  <c r="G2" i="1"/>
  <c r="C2" i="1" s="1"/>
  <c r="G168" i="1"/>
  <c r="C168" i="1" s="1"/>
  <c r="G183" i="1"/>
  <c r="C183" i="1" s="1"/>
  <c r="G57" i="1"/>
  <c r="C57" i="1" s="1"/>
  <c r="G91" i="1"/>
  <c r="C91" i="1" s="1"/>
  <c r="G206" i="1"/>
  <c r="C206" i="1" s="1"/>
  <c r="G112" i="1"/>
  <c r="C112" i="1" s="1"/>
  <c r="G147" i="1"/>
  <c r="C147" i="1" s="1"/>
  <c r="G58" i="1"/>
  <c r="C58" i="1" s="1"/>
  <c r="G78" i="1"/>
  <c r="C78" i="1" s="1"/>
  <c r="G148" i="1"/>
  <c r="G207" i="1"/>
  <c r="G3" i="1"/>
  <c r="C3" i="1" s="1"/>
  <c r="G59" i="1"/>
  <c r="C59" i="1" s="1"/>
  <c r="G36" i="1"/>
  <c r="C36" i="1" s="1"/>
  <c r="G37" i="1"/>
  <c r="C37" i="1" s="1"/>
  <c r="G60" i="1"/>
  <c r="C60" i="1" s="1"/>
  <c r="G61" i="1"/>
  <c r="C61" i="1" s="1"/>
  <c r="G79" i="1"/>
  <c r="C79" i="1" s="1"/>
  <c r="G38" i="1"/>
  <c r="C38" i="1" s="1"/>
  <c r="G197" i="1"/>
  <c r="C197" i="1" s="1"/>
  <c r="G198" i="1"/>
  <c r="C198" i="1" s="1"/>
  <c r="G113" i="1"/>
  <c r="G114" i="1"/>
  <c r="G62" i="1"/>
  <c r="C62" i="1" s="1"/>
  <c r="G63" i="1"/>
  <c r="C63" i="1" s="1"/>
  <c r="G39" i="1"/>
  <c r="C39" i="1" s="1"/>
  <c r="G149" i="1"/>
  <c r="C149" i="1" s="1"/>
  <c r="G40" i="1"/>
  <c r="C40" i="1" s="1"/>
  <c r="G169" i="1"/>
  <c r="C169" i="1" s="1"/>
  <c r="G92" i="1"/>
  <c r="C92" i="1" s="1"/>
  <c r="G150" i="1"/>
  <c r="C150" i="1" s="1"/>
  <c r="G184" i="1"/>
  <c r="C184" i="1" s="1"/>
  <c r="G185" i="1"/>
  <c r="C185" i="1" s="1"/>
  <c r="G170" i="1"/>
  <c r="G230" i="1"/>
  <c r="G171" i="1"/>
  <c r="C171" i="1" s="1"/>
  <c r="G199" i="1"/>
  <c r="C199" i="1" s="1"/>
  <c r="G115" i="1"/>
  <c r="C115" i="1" s="1"/>
  <c r="G41" i="1"/>
  <c r="C41" i="1" s="1"/>
  <c r="G116" i="1"/>
  <c r="C116" i="1" s="1"/>
  <c r="G151" i="1"/>
  <c r="C151" i="1" s="1"/>
  <c r="G42" i="1"/>
  <c r="C42" i="1" s="1"/>
  <c r="G172" i="1"/>
  <c r="C172" i="1" s="1"/>
  <c r="G117" i="1"/>
  <c r="C117" i="1" s="1"/>
  <c r="G93" i="1"/>
  <c r="C93" i="1" s="1"/>
  <c r="G118" i="1"/>
  <c r="G173" i="1"/>
  <c r="G80" i="1"/>
  <c r="C80" i="1" s="1"/>
  <c r="G174" i="1"/>
  <c r="C174" i="1" s="1"/>
  <c r="G119" i="1"/>
  <c r="C119" i="1" s="1"/>
  <c r="G231" i="1"/>
  <c r="C231" i="1" s="1"/>
  <c r="G152" i="1"/>
  <c r="C152" i="1" s="1"/>
  <c r="G175" i="1"/>
  <c r="C175" i="1" s="1"/>
  <c r="G176" i="1"/>
  <c r="C176" i="1" s="1"/>
  <c r="G4" i="1"/>
  <c r="C4" i="1" s="1"/>
  <c r="G120" i="1"/>
  <c r="C120" i="1" s="1"/>
  <c r="G43" i="1"/>
  <c r="C43" i="1" s="1"/>
  <c r="G5" i="1"/>
  <c r="G64" i="1"/>
  <c r="G81" i="1"/>
  <c r="C81" i="1" s="1"/>
  <c r="G177" i="1"/>
  <c r="C177" i="1" s="1"/>
  <c r="G121" i="1"/>
  <c r="C121" i="1" s="1"/>
  <c r="G94" i="1"/>
  <c r="C94" i="1" s="1"/>
  <c r="G65" i="1"/>
  <c r="C65" i="1" s="1"/>
  <c r="G153" i="1"/>
  <c r="C153" i="1" s="1"/>
  <c r="G44" i="1"/>
  <c r="C44" i="1" s="1"/>
  <c r="G122" i="1"/>
  <c r="C122" i="1" s="1"/>
  <c r="G186" i="1"/>
  <c r="C186" i="1" s="1"/>
  <c r="G95" i="1"/>
  <c r="C95" i="1" s="1"/>
  <c r="G6" i="1"/>
  <c r="G45" i="1"/>
  <c r="G154" i="1"/>
  <c r="C154" i="1" s="1"/>
  <c r="G155" i="1"/>
  <c r="C155" i="1" s="1"/>
  <c r="G7" i="1"/>
  <c r="C7" i="1" s="1"/>
  <c r="G156" i="1"/>
  <c r="C156" i="1" s="1"/>
  <c r="G66" i="1"/>
  <c r="C66" i="1" s="1"/>
  <c r="G187" i="1"/>
  <c r="C187" i="1" s="1"/>
  <c r="G8" i="1"/>
  <c r="C8" i="1" s="1"/>
  <c r="G157" i="1"/>
  <c r="C157" i="1" s="1"/>
  <c r="G208" i="1"/>
  <c r="C208" i="1" s="1"/>
  <c r="G158" i="1"/>
  <c r="C158" i="1" s="1"/>
  <c r="G82" i="1"/>
  <c r="G200" i="1"/>
  <c r="G9" i="1"/>
  <c r="C9" i="1" s="1"/>
  <c r="G123" i="1"/>
  <c r="C123" i="1" s="1"/>
  <c r="G124" i="1"/>
  <c r="C124" i="1" s="1"/>
  <c r="G67" i="1"/>
  <c r="C67" i="1" s="1"/>
  <c r="G178" i="1"/>
  <c r="C178" i="1" s="1"/>
  <c r="G188" i="1"/>
  <c r="C188" i="1" s="1"/>
  <c r="G179" i="1"/>
  <c r="C179" i="1" s="1"/>
  <c r="G10" i="1"/>
  <c r="C10" i="1" s="1"/>
  <c r="G125" i="1"/>
  <c r="C125" i="1" s="1"/>
  <c r="G209" i="1"/>
  <c r="C209" i="1" s="1"/>
  <c r="G210" i="1"/>
  <c r="G83" i="1"/>
  <c r="G46" i="1"/>
  <c r="C46" i="1" s="1"/>
  <c r="G11" i="1"/>
  <c r="C11" i="1" s="1"/>
  <c r="G126" i="1"/>
  <c r="C126" i="1" s="1"/>
  <c r="G159" i="1"/>
  <c r="C159" i="1" s="1"/>
  <c r="G84" i="1"/>
  <c r="C84" i="1" s="1"/>
  <c r="G96" i="1"/>
  <c r="C96" i="1" s="1"/>
  <c r="G211" i="1"/>
  <c r="C211" i="1" s="1"/>
  <c r="G127" i="1"/>
  <c r="C127" i="1" s="1"/>
  <c r="G128" i="1"/>
  <c r="C128" i="1" s="1"/>
  <c r="G212" i="1"/>
  <c r="C212" i="1" s="1"/>
  <c r="G12" i="1"/>
  <c r="G189" i="1"/>
  <c r="G201" i="1"/>
  <c r="C201" i="1" s="1"/>
  <c r="G190" i="1"/>
  <c r="C190" i="1" s="1"/>
  <c r="G68" i="1"/>
  <c r="C68" i="1" s="1"/>
  <c r="G129" i="1"/>
  <c r="C129" i="1" s="1"/>
  <c r="G160" i="1"/>
  <c r="C160" i="1" s="1"/>
  <c r="G101" i="1"/>
  <c r="C101" i="1" s="1"/>
  <c r="G13" i="1"/>
  <c r="C13" i="1" s="1"/>
  <c r="G47" i="1"/>
  <c r="C47" i="1" s="1"/>
  <c r="G14" i="1"/>
  <c r="C14" i="1" s="1"/>
  <c r="G130" i="1"/>
  <c r="C130" i="1" s="1"/>
  <c r="G15" i="1"/>
  <c r="G69" i="1"/>
  <c r="G213" i="1"/>
  <c r="C213" i="1" s="1"/>
  <c r="G70" i="1"/>
  <c r="C70" i="1" s="1"/>
  <c r="G16" i="1"/>
  <c r="C16" i="1" s="1"/>
  <c r="G214" i="1"/>
  <c r="C214" i="1" s="1"/>
  <c r="G215" i="1"/>
  <c r="C215" i="1" s="1"/>
  <c r="G17" i="1"/>
  <c r="C17" i="1" s="1"/>
  <c r="G18" i="1"/>
  <c r="C18" i="1" s="1"/>
  <c r="G19" i="1"/>
  <c r="C19" i="1" s="1"/>
  <c r="G102" i="1"/>
  <c r="C102" i="1" s="1"/>
  <c r="G85" i="1"/>
  <c r="C85" i="1" s="1"/>
  <c r="G216" i="1"/>
  <c r="G48" i="1"/>
  <c r="G20" i="1"/>
  <c r="C20" i="1" s="1"/>
  <c r="G217" i="1"/>
  <c r="C217" i="1" s="1"/>
  <c r="G21" i="1"/>
  <c r="C21" i="1" s="1"/>
  <c r="G22" i="1"/>
  <c r="C22" i="1" s="1"/>
  <c r="G49" i="1"/>
  <c r="C49" i="1" s="1"/>
  <c r="G180" i="1"/>
  <c r="C180" i="1" s="1"/>
  <c r="G50" i="1"/>
  <c r="C50" i="1" s="1"/>
  <c r="G86" i="1"/>
  <c r="C86" i="1" s="1"/>
  <c r="G202" i="1"/>
  <c r="C202" i="1" s="1"/>
  <c r="G23" i="1"/>
  <c r="C23" i="1" s="1"/>
  <c r="G51" i="1"/>
  <c r="G191" i="1"/>
  <c r="G71" i="1"/>
  <c r="C71" i="1" s="1"/>
  <c r="G72" i="1"/>
  <c r="C72" i="1" s="1"/>
  <c r="G161" i="1"/>
  <c r="C161" i="1" s="1"/>
  <c r="G131" i="1"/>
  <c r="C131" i="1" s="1"/>
  <c r="G103" i="1"/>
  <c r="C103" i="1" s="1"/>
  <c r="G24" i="1"/>
  <c r="C24" i="1" s="1"/>
  <c r="G162" i="1"/>
  <c r="C162" i="1" s="1"/>
  <c r="G132" i="1"/>
  <c r="C132" i="1" s="1"/>
  <c r="G218" i="1"/>
  <c r="C218" i="1" s="1"/>
  <c r="G104" i="1"/>
  <c r="C104" i="1" s="1"/>
  <c r="G163" i="1"/>
  <c r="G25" i="1"/>
  <c r="G133" i="1"/>
  <c r="C133" i="1" s="1"/>
  <c r="G219" i="1"/>
  <c r="C219" i="1" s="1"/>
  <c r="G203" i="1"/>
  <c r="C203" i="1" s="1"/>
  <c r="G105" i="1"/>
  <c r="C105" i="1" s="1"/>
  <c r="G97" i="1"/>
  <c r="C97" i="1" s="1"/>
  <c r="G26" i="1"/>
  <c r="C26" i="1" s="1"/>
  <c r="G220" i="1"/>
  <c r="C220" i="1" s="1"/>
  <c r="G27" i="1"/>
  <c r="C27" i="1" s="1"/>
  <c r="G106" i="1"/>
  <c r="C106" i="1" s="1"/>
  <c r="G134" i="1"/>
  <c r="C134" i="1" s="1"/>
  <c r="G135" i="1"/>
  <c r="G107" i="1"/>
  <c r="G136" i="1"/>
  <c r="C136" i="1" s="1"/>
  <c r="G221" i="1"/>
  <c r="C221" i="1" s="1"/>
  <c r="G108" i="1"/>
  <c r="C108" i="1" s="1"/>
  <c r="G52" i="1"/>
  <c r="C52" i="1" s="1"/>
  <c r="G222" i="1"/>
  <c r="C222" i="1" s="1"/>
  <c r="G73" i="1"/>
  <c r="C73" i="1" s="1"/>
  <c r="G28" i="1"/>
  <c r="C28" i="1" s="1"/>
  <c r="G53" i="1"/>
  <c r="C53" i="1" s="1"/>
  <c r="G29" i="1"/>
  <c r="C29" i="1" s="1"/>
  <c r="G74" i="1"/>
  <c r="C74" i="1" s="1"/>
  <c r="G87" i="1"/>
  <c r="G137" i="1"/>
  <c r="G54" i="1"/>
  <c r="C54" i="1" s="1"/>
  <c r="G75" i="1"/>
  <c r="C75" i="1" s="1"/>
  <c r="G164" i="1"/>
  <c r="C164" i="1" s="1"/>
  <c r="G223" i="1"/>
  <c r="C223" i="1" s="1"/>
  <c r="G138" i="1"/>
  <c r="C138" i="1" s="1"/>
  <c r="G76" i="1"/>
  <c r="C76" i="1" s="1"/>
  <c r="G192" i="1"/>
  <c r="C192" i="1" s="1"/>
  <c r="G88" i="1"/>
  <c r="C88" i="1" s="1"/>
  <c r="G30" i="1"/>
  <c r="C30" i="1" s="1"/>
  <c r="G224" i="1"/>
  <c r="C224" i="1" s="1"/>
  <c r="G31" i="1"/>
  <c r="G193" i="1"/>
  <c r="G165" i="1"/>
  <c r="C165" i="1" s="1"/>
  <c r="G181" i="1"/>
  <c r="C181" i="1" s="1"/>
  <c r="G32" i="1"/>
  <c r="C32" i="1" s="1"/>
  <c r="G139" i="1"/>
  <c r="C139" i="1" s="1"/>
  <c r="G194" i="1"/>
  <c r="C194" i="1" s="1"/>
  <c r="G33" i="1"/>
  <c r="C33" i="1" s="1"/>
  <c r="G109" i="1"/>
  <c r="C109" i="1" s="1"/>
  <c r="G34" i="1"/>
  <c r="C34" i="1" s="1"/>
  <c r="G140" i="1"/>
  <c r="C140" i="1" s="1"/>
  <c r="G225" i="1"/>
  <c r="C225" i="1" s="1"/>
  <c r="G98" i="1"/>
  <c r="G141" i="1"/>
  <c r="G77" i="1"/>
  <c r="C77" i="1" s="1"/>
  <c r="G166" i="1"/>
  <c r="C166" i="1" s="1"/>
  <c r="G89" i="1"/>
  <c r="C89" i="1" s="1"/>
  <c r="G182" i="1"/>
  <c r="C182" i="1" s="1"/>
  <c r="G226" i="1"/>
  <c r="C226" i="1" s="1"/>
  <c r="G110" i="1"/>
  <c r="C110" i="1" s="1"/>
  <c r="G227" i="1"/>
  <c r="C227" i="1" s="1"/>
  <c r="G35" i="1"/>
  <c r="C35" i="1" s="1"/>
  <c r="G111" i="1"/>
  <c r="C111" i="1" s="1"/>
  <c r="G55" i="1"/>
  <c r="C55" i="1" s="1"/>
  <c r="G142" i="1"/>
  <c r="G195" i="1"/>
  <c r="G143" i="1"/>
  <c r="C143" i="1" s="1"/>
  <c r="G204" i="1"/>
  <c r="C204" i="1" s="1"/>
  <c r="G144" i="1"/>
  <c r="C144" i="1" s="1"/>
  <c r="G228" i="1"/>
  <c r="C228" i="1" s="1"/>
  <c r="G90" i="1"/>
  <c r="C90" i="1" s="1"/>
  <c r="G99" i="1"/>
  <c r="C99" i="1" s="1"/>
  <c r="G196" i="1"/>
  <c r="C196" i="1" s="1"/>
  <c r="G100" i="1"/>
  <c r="C100" i="1" s="1"/>
  <c r="G145" i="1"/>
  <c r="C145" i="1" s="1"/>
  <c r="G167" i="1"/>
  <c r="C167" i="1" s="1"/>
  <c r="G229" i="1"/>
  <c r="G146" i="1"/>
  <c r="G205" i="1"/>
  <c r="C205" i="1" s="1"/>
  <c r="G56" i="1"/>
  <c r="C56" i="1" s="1"/>
  <c r="B2" i="1"/>
  <c r="B168" i="1"/>
  <c r="B183" i="1"/>
  <c r="B57" i="1"/>
  <c r="B91" i="1"/>
  <c r="B206" i="1"/>
  <c r="B112" i="1"/>
  <c r="B147" i="1"/>
  <c r="B58" i="1"/>
  <c r="B78" i="1"/>
  <c r="B148" i="1"/>
  <c r="B207" i="1"/>
  <c r="B3" i="1"/>
  <c r="B59" i="1"/>
  <c r="B36" i="1"/>
  <c r="B37" i="1"/>
  <c r="B60" i="1"/>
  <c r="B61" i="1"/>
  <c r="B79" i="1"/>
  <c r="B38" i="1"/>
  <c r="B197" i="1"/>
  <c r="B198" i="1"/>
  <c r="B113" i="1"/>
  <c r="B114" i="1"/>
  <c r="B62" i="1"/>
  <c r="B63" i="1"/>
  <c r="B39" i="1"/>
  <c r="B149" i="1"/>
  <c r="B40" i="1"/>
  <c r="B169" i="1"/>
  <c r="B92" i="1"/>
  <c r="B150" i="1"/>
  <c r="B184" i="1"/>
  <c r="B185" i="1"/>
  <c r="B170" i="1"/>
  <c r="B230" i="1"/>
  <c r="B171" i="1"/>
  <c r="B199" i="1"/>
  <c r="B115" i="1"/>
  <c r="B41" i="1"/>
  <c r="B116" i="1"/>
  <c r="B151" i="1"/>
  <c r="B42" i="1"/>
  <c r="B172" i="1"/>
  <c r="B117" i="1"/>
  <c r="B93" i="1"/>
  <c r="B118" i="1"/>
  <c r="B173" i="1"/>
  <c r="B80" i="1"/>
  <c r="B174" i="1"/>
  <c r="B119" i="1"/>
  <c r="B231" i="1"/>
  <c r="B152" i="1"/>
  <c r="B175" i="1"/>
  <c r="B176" i="1"/>
  <c r="B4" i="1"/>
  <c r="B120" i="1"/>
  <c r="B43" i="1"/>
  <c r="B5" i="1"/>
  <c r="B64" i="1"/>
  <c r="B81" i="1"/>
  <c r="B177" i="1"/>
  <c r="B121" i="1"/>
  <c r="B94" i="1"/>
  <c r="B65" i="1"/>
  <c r="B153" i="1"/>
  <c r="B44" i="1"/>
  <c r="B122" i="1"/>
  <c r="B186" i="1"/>
  <c r="B95" i="1"/>
  <c r="B6" i="1"/>
  <c r="B45" i="1"/>
  <c r="B154" i="1"/>
  <c r="B155" i="1"/>
  <c r="B7" i="1"/>
  <c r="B156" i="1"/>
  <c r="B66" i="1"/>
  <c r="B187" i="1"/>
  <c r="B8" i="1"/>
  <c r="B157" i="1"/>
  <c r="B208" i="1"/>
  <c r="B158" i="1"/>
  <c r="B82" i="1"/>
  <c r="B200" i="1"/>
  <c r="B9" i="1"/>
  <c r="B123" i="1"/>
  <c r="B124" i="1"/>
  <c r="B67" i="1"/>
  <c r="B178" i="1"/>
  <c r="B188" i="1"/>
  <c r="B179" i="1"/>
  <c r="B10" i="1"/>
  <c r="B125" i="1"/>
  <c r="B209" i="1"/>
  <c r="B210" i="1"/>
  <c r="B83" i="1"/>
  <c r="B46" i="1"/>
  <c r="B11" i="1"/>
  <c r="B126" i="1"/>
  <c r="B159" i="1"/>
  <c r="B84" i="1"/>
  <c r="B96" i="1"/>
  <c r="B211" i="1"/>
  <c r="B127" i="1"/>
  <c r="B128" i="1"/>
  <c r="B212" i="1"/>
  <c r="B12" i="1"/>
  <c r="B189" i="1"/>
  <c r="B201" i="1"/>
  <c r="B190" i="1"/>
  <c r="B68" i="1"/>
  <c r="B129" i="1"/>
  <c r="B160" i="1"/>
  <c r="B101" i="1"/>
  <c r="B13" i="1"/>
  <c r="B47" i="1"/>
  <c r="B14" i="1"/>
  <c r="B130" i="1"/>
  <c r="B15" i="1"/>
  <c r="B69" i="1"/>
  <c r="B213" i="1"/>
  <c r="B70" i="1"/>
  <c r="B16" i="1"/>
  <c r="B214" i="1"/>
  <c r="B215" i="1"/>
  <c r="B17" i="1"/>
  <c r="B18" i="1"/>
  <c r="B19" i="1"/>
  <c r="B102" i="1"/>
  <c r="B85" i="1"/>
  <c r="B216" i="1"/>
  <c r="B48" i="1"/>
  <c r="B20" i="1"/>
  <c r="B217" i="1"/>
  <c r="B21" i="1"/>
  <c r="B22" i="1"/>
  <c r="B49" i="1"/>
  <c r="B180" i="1"/>
  <c r="B50" i="1"/>
  <c r="B86" i="1"/>
  <c r="B202" i="1"/>
  <c r="B23" i="1"/>
  <c r="B51" i="1"/>
  <c r="B191" i="1"/>
  <c r="B71" i="1"/>
  <c r="B72" i="1"/>
  <c r="B161" i="1"/>
  <c r="B131" i="1"/>
  <c r="B103" i="1"/>
  <c r="B24" i="1"/>
  <c r="B162" i="1"/>
  <c r="B132" i="1"/>
  <c r="B218" i="1"/>
  <c r="B104" i="1"/>
  <c r="B163" i="1"/>
  <c r="B25" i="1"/>
  <c r="B133" i="1"/>
  <c r="B219" i="1"/>
  <c r="B203" i="1"/>
  <c r="B105" i="1"/>
  <c r="B97" i="1"/>
  <c r="B26" i="1"/>
  <c r="B220" i="1"/>
  <c r="B27" i="1"/>
  <c r="B106" i="1"/>
  <c r="B134" i="1"/>
  <c r="B135" i="1"/>
  <c r="B107" i="1"/>
  <c r="B136" i="1"/>
  <c r="B221" i="1"/>
  <c r="B108" i="1"/>
  <c r="B52" i="1"/>
  <c r="B222" i="1"/>
  <c r="B73" i="1"/>
  <c r="B28" i="1"/>
  <c r="B53" i="1"/>
  <c r="B29" i="1"/>
  <c r="B74" i="1"/>
  <c r="B87" i="1"/>
  <c r="B137" i="1"/>
  <c r="B54" i="1"/>
  <c r="B75" i="1"/>
  <c r="B164" i="1"/>
  <c r="B223" i="1"/>
  <c r="B138" i="1"/>
  <c r="B76" i="1"/>
  <c r="B192" i="1"/>
  <c r="B88" i="1"/>
  <c r="B30" i="1"/>
  <c r="B224" i="1"/>
  <c r="B31" i="1"/>
  <c r="B193" i="1"/>
  <c r="B165" i="1"/>
  <c r="B181" i="1"/>
  <c r="B32" i="1"/>
  <c r="B139" i="1"/>
  <c r="B194" i="1"/>
  <c r="B33" i="1"/>
  <c r="B109" i="1"/>
  <c r="B34" i="1"/>
  <c r="B140" i="1"/>
  <c r="B225" i="1"/>
  <c r="B98" i="1"/>
  <c r="B141" i="1"/>
  <c r="B77" i="1"/>
  <c r="B166" i="1"/>
  <c r="B89" i="1"/>
  <c r="B182" i="1"/>
  <c r="B226" i="1"/>
  <c r="B110" i="1"/>
  <c r="B227" i="1"/>
  <c r="B35" i="1"/>
  <c r="B111" i="1"/>
  <c r="B55" i="1"/>
  <c r="B142" i="1"/>
  <c r="B195" i="1"/>
  <c r="B143" i="1"/>
  <c r="B204" i="1"/>
  <c r="B144" i="1"/>
  <c r="B228" i="1"/>
  <c r="B90" i="1"/>
  <c r="B99" i="1"/>
  <c r="B196" i="1"/>
  <c r="B100" i="1"/>
  <c r="B145" i="1"/>
  <c r="B167" i="1"/>
  <c r="B229" i="1"/>
  <c r="B146" i="1"/>
  <c r="B205" i="1"/>
  <c r="B56" i="1"/>
  <c r="L23" i="23"/>
  <c r="L24" i="23"/>
  <c r="L25" i="23"/>
  <c r="L26" i="23"/>
  <c r="L27" i="23"/>
  <c r="L28" i="23"/>
  <c r="L29" i="23"/>
  <c r="L30" i="23"/>
  <c r="L31" i="23"/>
  <c r="L32" i="23"/>
  <c r="L33" i="23"/>
  <c r="L34" i="23"/>
  <c r="L35" i="23"/>
  <c r="N23" i="23"/>
  <c r="N24" i="23"/>
  <c r="N25" i="23"/>
  <c r="P25" i="23" s="1"/>
  <c r="N26" i="23"/>
  <c r="N27" i="23"/>
  <c r="N28" i="23"/>
  <c r="N29" i="23"/>
  <c r="N30" i="23"/>
  <c r="N31" i="23"/>
  <c r="N32" i="23"/>
  <c r="N33" i="23"/>
  <c r="P33" i="23" s="1"/>
  <c r="Q33" i="23" s="1"/>
  <c r="N34" i="23"/>
  <c r="O34" i="23" s="1"/>
  <c r="N35" i="23"/>
  <c r="O35" i="23"/>
  <c r="P23" i="23"/>
  <c r="P24" i="23"/>
  <c r="P28" i="23"/>
  <c r="P29" i="23"/>
  <c r="P30" i="23"/>
  <c r="P31" i="23"/>
  <c r="P32" i="23"/>
  <c r="P35" i="23"/>
  <c r="Q35" i="23"/>
  <c r="AT15" i="36" l="1" a="1"/>
  <c r="AT15" i="36" s="1"/>
  <c r="P27" i="23"/>
  <c r="P26" i="23"/>
  <c r="O33" i="23"/>
  <c r="P34" i="23"/>
  <c r="Q34" i="23" s="1"/>
  <c r="AH7" i="29" l="1"/>
  <c r="AH8" i="29"/>
  <c r="AH9" i="29"/>
  <c r="AH10" i="29"/>
  <c r="AH11" i="29"/>
  <c r="AH12" i="29"/>
  <c r="AH13" i="29"/>
  <c r="AI13" i="29" s="1"/>
  <c r="Z5" i="37" s="1"/>
  <c r="AH14" i="29"/>
  <c r="AL14" i="29" s="1"/>
  <c r="AM14" i="29" s="1"/>
  <c r="AR4" i="37" s="1"/>
  <c r="AH15" i="29"/>
  <c r="AL15" i="29" s="1"/>
  <c r="AM15" i="29" s="1"/>
  <c r="AR12" i="37" s="1"/>
  <c r="AH16" i="29"/>
  <c r="AL16" i="29" s="1"/>
  <c r="AM16" i="29" s="1"/>
  <c r="AR13" i="37" s="1"/>
  <c r="AH17" i="29"/>
  <c r="AH18" i="29"/>
  <c r="AH19" i="29"/>
  <c r="AH20" i="29"/>
  <c r="AH21" i="29"/>
  <c r="AH22" i="29"/>
  <c r="AH23" i="29"/>
  <c r="AH24" i="29"/>
  <c r="AH25" i="29"/>
  <c r="AH26" i="29"/>
  <c r="AI26" i="29" s="1"/>
  <c r="Z8" i="41" s="1"/>
  <c r="AJ7" i="29"/>
  <c r="AJ8" i="29"/>
  <c r="AJ9" i="29"/>
  <c r="AJ10" i="29"/>
  <c r="AK10" i="29" s="1"/>
  <c r="AJ11" i="29"/>
  <c r="AJ12" i="29"/>
  <c r="AJ13" i="29"/>
  <c r="AK13" i="29" s="1"/>
  <c r="AA5" i="37" s="1"/>
  <c r="AJ14" i="29"/>
  <c r="AJ15" i="29"/>
  <c r="AJ16" i="29"/>
  <c r="AJ17" i="29"/>
  <c r="AJ18" i="29"/>
  <c r="AJ19" i="29"/>
  <c r="AJ20" i="29"/>
  <c r="AJ21" i="29"/>
  <c r="AJ22" i="29"/>
  <c r="AK22" i="29" s="1"/>
  <c r="AJ23" i="29"/>
  <c r="AJ24" i="29"/>
  <c r="AJ25" i="29"/>
  <c r="AJ26" i="29"/>
  <c r="AK16" i="29"/>
  <c r="AA13" i="37" s="1"/>
  <c r="AK17" i="29"/>
  <c r="AA14" i="37" s="1"/>
  <c r="AK18" i="29"/>
  <c r="AL7" i="29"/>
  <c r="AL8" i="29"/>
  <c r="AL9" i="29"/>
  <c r="AL10" i="29"/>
  <c r="AL19" i="29"/>
  <c r="AL20" i="29"/>
  <c r="AL21" i="29"/>
  <c r="AL22" i="29"/>
  <c r="AH7" i="21"/>
  <c r="AH8" i="21"/>
  <c r="AH9" i="21"/>
  <c r="AH10" i="21"/>
  <c r="AH11" i="21"/>
  <c r="AH12" i="21"/>
  <c r="AH13" i="21"/>
  <c r="AH14" i="21"/>
  <c r="AH15" i="21"/>
  <c r="AI15" i="21" s="1"/>
  <c r="Z6" i="36" s="1"/>
  <c r="AH16" i="21"/>
  <c r="AI16" i="21" s="1"/>
  <c r="AH17" i="21"/>
  <c r="AI17" i="21" s="1"/>
  <c r="Z11" i="36" s="1"/>
  <c r="AH18" i="21"/>
  <c r="AI18" i="21" s="1"/>
  <c r="AH19" i="21"/>
  <c r="AH20" i="21"/>
  <c r="AH21" i="21"/>
  <c r="AH22" i="21"/>
  <c r="AJ7" i="21"/>
  <c r="AJ8" i="21"/>
  <c r="AJ9" i="21"/>
  <c r="AJ10" i="21"/>
  <c r="AJ11" i="21"/>
  <c r="AJ12" i="21"/>
  <c r="AJ13" i="21"/>
  <c r="AJ14" i="21"/>
  <c r="AJ15" i="21"/>
  <c r="AJ16" i="21"/>
  <c r="AJ17" i="21"/>
  <c r="AJ18" i="21"/>
  <c r="AJ19" i="21"/>
  <c r="AJ20" i="21"/>
  <c r="AJ21" i="21"/>
  <c r="AL21" i="21" s="1"/>
  <c r="AJ22" i="21"/>
  <c r="AL22" i="21" s="1"/>
  <c r="AK16" i="21"/>
  <c r="AK17" i="21"/>
  <c r="AA11" i="36" s="1"/>
  <c r="AL11" i="21"/>
  <c r="AL12" i="21"/>
  <c r="AL13" i="21"/>
  <c r="AL14" i="21"/>
  <c r="L6" i="29"/>
  <c r="L7" i="29"/>
  <c r="L8" i="29"/>
  <c r="L9" i="29"/>
  <c r="L10" i="29"/>
  <c r="L11" i="29"/>
  <c r="L12" i="29"/>
  <c r="M12" i="29" s="1"/>
  <c r="S17" i="39" s="1"/>
  <c r="L13" i="29"/>
  <c r="M13" i="29" s="1"/>
  <c r="S7" i="39" s="1"/>
  <c r="L14" i="29"/>
  <c r="M14" i="29" s="1"/>
  <c r="S19" i="39" s="1"/>
  <c r="L15" i="29"/>
  <c r="L16" i="29"/>
  <c r="L17" i="29"/>
  <c r="L18" i="29"/>
  <c r="L19" i="29"/>
  <c r="L20" i="29"/>
  <c r="L21" i="29"/>
  <c r="L22" i="29"/>
  <c r="L23" i="29"/>
  <c r="N6" i="29"/>
  <c r="N7" i="29"/>
  <c r="N8" i="29"/>
  <c r="N9" i="29"/>
  <c r="N10" i="29"/>
  <c r="N11" i="29"/>
  <c r="N12" i="29"/>
  <c r="N13" i="29"/>
  <c r="N14" i="29"/>
  <c r="N15" i="29"/>
  <c r="O15" i="29" s="1"/>
  <c r="T21" i="39" s="1"/>
  <c r="N16" i="29"/>
  <c r="N17" i="29"/>
  <c r="N18" i="29"/>
  <c r="N19" i="29"/>
  <c r="N20" i="29"/>
  <c r="N21" i="29"/>
  <c r="N22" i="29"/>
  <c r="N23" i="29"/>
  <c r="P6" i="29"/>
  <c r="P7" i="29"/>
  <c r="P8" i="29"/>
  <c r="P9" i="29"/>
  <c r="P10" i="29"/>
  <c r="P11" i="29"/>
  <c r="P12" i="29"/>
  <c r="Q12" i="29" s="1"/>
  <c r="AK17" i="39" s="1"/>
  <c r="P13" i="29"/>
  <c r="Q13" i="29" s="1"/>
  <c r="AK7" i="39" s="1"/>
  <c r="P14" i="29"/>
  <c r="Q14" i="29" s="1"/>
  <c r="AK19" i="39" s="1"/>
  <c r="P15" i="29"/>
  <c r="Q15" i="29" s="1"/>
  <c r="AK21" i="39" s="1"/>
  <c r="P16" i="29"/>
  <c r="P17" i="29"/>
  <c r="P18" i="29"/>
  <c r="P19" i="29"/>
  <c r="P20" i="29"/>
  <c r="P21" i="29"/>
  <c r="P22" i="29"/>
  <c r="P23" i="29"/>
  <c r="L6" i="21"/>
  <c r="L7" i="21"/>
  <c r="L8" i="21"/>
  <c r="L9" i="21"/>
  <c r="L10" i="21"/>
  <c r="L11" i="21"/>
  <c r="L12" i="21"/>
  <c r="L13" i="21"/>
  <c r="L14" i="21"/>
  <c r="P14" i="21" s="1"/>
  <c r="L15" i="21"/>
  <c r="P15" i="21" s="1"/>
  <c r="L16" i="21"/>
  <c r="P16" i="21" s="1"/>
  <c r="L17" i="21"/>
  <c r="L18" i="21"/>
  <c r="L19" i="21"/>
  <c r="L20" i="21"/>
  <c r="L21" i="21"/>
  <c r="L22" i="21"/>
  <c r="L23" i="21"/>
  <c r="L24" i="21"/>
  <c r="L25" i="21"/>
  <c r="L26" i="21"/>
  <c r="P26" i="21" s="1"/>
  <c r="L27" i="21"/>
  <c r="P27" i="21" s="1"/>
  <c r="L28" i="21"/>
  <c r="P28" i="21" s="1"/>
  <c r="L29" i="21"/>
  <c r="L30" i="21"/>
  <c r="L31" i="21"/>
  <c r="L32" i="21"/>
  <c r="L33" i="21"/>
  <c r="L34" i="21"/>
  <c r="L35" i="21"/>
  <c r="L36" i="21"/>
  <c r="N6" i="21"/>
  <c r="N7" i="21"/>
  <c r="N8" i="21"/>
  <c r="N9" i="21"/>
  <c r="N10" i="21"/>
  <c r="N11" i="21"/>
  <c r="N12" i="21"/>
  <c r="N13" i="21"/>
  <c r="N14" i="21"/>
  <c r="N15" i="21"/>
  <c r="N16" i="21"/>
  <c r="N17" i="21"/>
  <c r="N18" i="21"/>
  <c r="N19" i="21"/>
  <c r="N20" i="21"/>
  <c r="N21" i="21"/>
  <c r="N22" i="21"/>
  <c r="N23" i="21"/>
  <c r="N24" i="21"/>
  <c r="N25" i="21"/>
  <c r="N26" i="21"/>
  <c r="N27" i="21"/>
  <c r="N28" i="21"/>
  <c r="N29" i="21"/>
  <c r="N30" i="21"/>
  <c r="N31" i="21"/>
  <c r="N32" i="21"/>
  <c r="N33" i="21"/>
  <c r="N34" i="21"/>
  <c r="N35" i="21"/>
  <c r="N36" i="21"/>
  <c r="P6" i="21"/>
  <c r="P7" i="21"/>
  <c r="P8" i="21"/>
  <c r="P9" i="21"/>
  <c r="P10" i="21"/>
  <c r="P11" i="21"/>
  <c r="P12" i="21"/>
  <c r="P13" i="21"/>
  <c r="P18" i="21"/>
  <c r="P19" i="21"/>
  <c r="P20" i="21"/>
  <c r="P21" i="21"/>
  <c r="P22" i="21"/>
  <c r="P23" i="21"/>
  <c r="P24" i="21"/>
  <c r="P25" i="21"/>
  <c r="P30" i="21"/>
  <c r="P31" i="21"/>
  <c r="P32" i="21"/>
  <c r="P33" i="21"/>
  <c r="P34" i="21"/>
  <c r="P35" i="21"/>
  <c r="P36" i="21"/>
  <c r="L6" i="23"/>
  <c r="L7" i="23"/>
  <c r="L8" i="23"/>
  <c r="P8" i="23" s="1"/>
  <c r="L9" i="23"/>
  <c r="P9" i="23" s="1"/>
  <c r="L10" i="23"/>
  <c r="L11" i="23"/>
  <c r="L12" i="23"/>
  <c r="L13" i="23"/>
  <c r="L14" i="23"/>
  <c r="L15" i="23"/>
  <c r="L16" i="23"/>
  <c r="L17" i="23"/>
  <c r="P17" i="23" s="1"/>
  <c r="L18" i="23"/>
  <c r="L19" i="23"/>
  <c r="L20" i="23"/>
  <c r="P20" i="23" s="1"/>
  <c r="L21" i="23"/>
  <c r="P21" i="23" s="1"/>
  <c r="L22" i="23"/>
  <c r="N6" i="23"/>
  <c r="N7" i="23"/>
  <c r="N8" i="23"/>
  <c r="N9" i="23"/>
  <c r="N10" i="23"/>
  <c r="N11" i="23"/>
  <c r="N12" i="23"/>
  <c r="N13" i="23"/>
  <c r="N14" i="23"/>
  <c r="N15" i="23"/>
  <c r="N16" i="23"/>
  <c r="N17" i="23"/>
  <c r="N18" i="23"/>
  <c r="N19" i="23"/>
  <c r="N20" i="23"/>
  <c r="N21" i="23"/>
  <c r="N22" i="23"/>
  <c r="AH7" i="23"/>
  <c r="AH8" i="23"/>
  <c r="AH9" i="23"/>
  <c r="AH10" i="23"/>
  <c r="AH11" i="23"/>
  <c r="AH12" i="23"/>
  <c r="AH13" i="23"/>
  <c r="AH14" i="23"/>
  <c r="AH15" i="23"/>
  <c r="AH16" i="23"/>
  <c r="AI16" i="23" s="1"/>
  <c r="H5" i="36" s="1"/>
  <c r="AH17" i="23"/>
  <c r="AL17" i="23" s="1"/>
  <c r="AM17" i="23" s="1"/>
  <c r="AH18" i="23"/>
  <c r="AH19" i="23"/>
  <c r="AH20" i="23"/>
  <c r="AH21" i="23"/>
  <c r="AH22" i="23"/>
  <c r="AJ7" i="23"/>
  <c r="AJ8" i="23"/>
  <c r="AJ9" i="23"/>
  <c r="AJ10" i="23"/>
  <c r="AJ11" i="23"/>
  <c r="AJ12" i="23"/>
  <c r="AJ13" i="23"/>
  <c r="AJ14" i="23"/>
  <c r="AJ15" i="23"/>
  <c r="AJ16" i="23"/>
  <c r="AJ17" i="23"/>
  <c r="AJ18" i="23"/>
  <c r="AJ19" i="23"/>
  <c r="AJ20" i="23"/>
  <c r="AJ21" i="23"/>
  <c r="AJ22" i="23"/>
  <c r="AK22" i="23" s="1"/>
  <c r="I11" i="40" s="1"/>
  <c r="AL11" i="23"/>
  <c r="AL12" i="23"/>
  <c r="AL13" i="23"/>
  <c r="AL14" i="23"/>
  <c r="L6" i="24"/>
  <c r="L7" i="24"/>
  <c r="L8" i="24"/>
  <c r="L9" i="24"/>
  <c r="L10" i="24"/>
  <c r="L11" i="24"/>
  <c r="L12" i="24"/>
  <c r="M12" i="24" s="1"/>
  <c r="H19" i="39" s="1"/>
  <c r="L13" i="24"/>
  <c r="M13" i="24" s="1"/>
  <c r="L14" i="24"/>
  <c r="M14" i="24" s="1"/>
  <c r="L15" i="24"/>
  <c r="M15" i="24" s="1"/>
  <c r="L16" i="24"/>
  <c r="M16" i="24" s="1"/>
  <c r="H4" i="35" s="1"/>
  <c r="L17" i="24"/>
  <c r="M17" i="24" s="1"/>
  <c r="H18" i="35" s="1"/>
  <c r="L18" i="24"/>
  <c r="L19" i="24"/>
  <c r="L20" i="24"/>
  <c r="L21" i="24"/>
  <c r="L22" i="24"/>
  <c r="L23" i="24"/>
  <c r="M22" i="24"/>
  <c r="H14" i="35" s="1"/>
  <c r="N6" i="24"/>
  <c r="N7" i="24"/>
  <c r="N8" i="24"/>
  <c r="N9" i="24"/>
  <c r="N10" i="24"/>
  <c r="N11" i="24"/>
  <c r="N12" i="24"/>
  <c r="N13" i="24"/>
  <c r="N14" i="24"/>
  <c r="N15" i="24"/>
  <c r="O15" i="24" s="1"/>
  <c r="N16" i="24"/>
  <c r="N17" i="24"/>
  <c r="N18" i="24"/>
  <c r="N19" i="24"/>
  <c r="N20" i="24"/>
  <c r="N21" i="24"/>
  <c r="N22" i="24"/>
  <c r="N23" i="24"/>
  <c r="O23" i="24"/>
  <c r="I6" i="35" s="1"/>
  <c r="P6" i="24"/>
  <c r="P7" i="24"/>
  <c r="P8" i="24"/>
  <c r="P9" i="24"/>
  <c r="P10" i="24"/>
  <c r="P11" i="24"/>
  <c r="P12" i="24"/>
  <c r="P13" i="24"/>
  <c r="P14" i="24"/>
  <c r="Q14" i="24" s="1"/>
  <c r="P15" i="24"/>
  <c r="Q15" i="24" s="1"/>
  <c r="P17" i="24"/>
  <c r="P18" i="24"/>
  <c r="P19" i="24"/>
  <c r="P20" i="24"/>
  <c r="P21" i="24"/>
  <c r="P22" i="24"/>
  <c r="P23" i="24"/>
  <c r="Q22" i="24"/>
  <c r="AI14" i="35" s="1"/>
  <c r="Q23" i="24"/>
  <c r="AI6" i="35" s="1"/>
  <c r="AH7" i="24"/>
  <c r="AH8" i="24"/>
  <c r="AH9" i="24"/>
  <c r="AH10" i="24"/>
  <c r="AH11" i="24"/>
  <c r="AH12" i="24"/>
  <c r="AH13" i="24"/>
  <c r="AI13" i="24" s="1"/>
  <c r="H12" i="37" s="1"/>
  <c r="AH14" i="24"/>
  <c r="AL14" i="24" s="1"/>
  <c r="AM14" i="24" s="1"/>
  <c r="AI10" i="37" s="1"/>
  <c r="AH15" i="24"/>
  <c r="AI15" i="24" s="1"/>
  <c r="AH16" i="24"/>
  <c r="AI16" i="24" s="1"/>
  <c r="H7" i="37" s="1"/>
  <c r="AH17" i="24"/>
  <c r="AL17" i="24" s="1"/>
  <c r="AM17" i="24" s="1"/>
  <c r="AI4" i="37" s="1"/>
  <c r="AH18" i="24"/>
  <c r="AH19" i="24"/>
  <c r="AH20" i="24"/>
  <c r="AH21" i="24"/>
  <c r="AH22" i="24"/>
  <c r="AH23" i="24"/>
  <c r="AI23" i="24" s="1"/>
  <c r="AH24" i="24"/>
  <c r="AI24" i="24" s="1"/>
  <c r="H8" i="41" s="1"/>
  <c r="AH25" i="24"/>
  <c r="AL25" i="24" s="1"/>
  <c r="AM25" i="24" s="1"/>
  <c r="AH26" i="24"/>
  <c r="AL26" i="24" s="1"/>
  <c r="AM26" i="24" s="1"/>
  <c r="AI5" i="41" s="1"/>
  <c r="AI22" i="24"/>
  <c r="H7" i="41" s="1"/>
  <c r="AJ7" i="24"/>
  <c r="AJ8" i="24"/>
  <c r="AJ9" i="24"/>
  <c r="AJ10" i="24"/>
  <c r="AJ11" i="24"/>
  <c r="AJ12" i="24"/>
  <c r="AJ13" i="24"/>
  <c r="AJ14" i="24"/>
  <c r="AJ15" i="24"/>
  <c r="AJ16" i="24"/>
  <c r="AJ17" i="24"/>
  <c r="AJ18" i="24"/>
  <c r="AJ19" i="24"/>
  <c r="AJ20" i="24"/>
  <c r="AJ21" i="24"/>
  <c r="AJ22" i="24"/>
  <c r="AJ23" i="24"/>
  <c r="AK23" i="24" s="1"/>
  <c r="AJ24" i="24"/>
  <c r="AJ25" i="24"/>
  <c r="AJ26" i="24"/>
  <c r="AK26" i="24" s="1"/>
  <c r="I5" i="41" s="1"/>
  <c r="AK17" i="24"/>
  <c r="I4" i="37" s="1"/>
  <c r="AK18" i="24"/>
  <c r="I11" i="37" s="1"/>
  <c r="AL7" i="24"/>
  <c r="AL8" i="24"/>
  <c r="AL9" i="24"/>
  <c r="AL10" i="24"/>
  <c r="AL19" i="24"/>
  <c r="AL20" i="24"/>
  <c r="AL21" i="24"/>
  <c r="AL22" i="24"/>
  <c r="AM22" i="24" s="1"/>
  <c r="AI7" i="41" s="1"/>
  <c r="L28" i="15"/>
  <c r="L29" i="15"/>
  <c r="M29" i="15" s="1"/>
  <c r="O11" i="40" s="1"/>
  <c r="L30" i="15"/>
  <c r="L31" i="15"/>
  <c r="L32" i="15"/>
  <c r="L33" i="15"/>
  <c r="L34" i="15"/>
  <c r="L35" i="15"/>
  <c r="L36" i="15"/>
  <c r="L37" i="15"/>
  <c r="M37" i="15" s="1"/>
  <c r="L38" i="15"/>
  <c r="L39" i="15"/>
  <c r="M39" i="15" s="1"/>
  <c r="L40" i="15"/>
  <c r="L41" i="15"/>
  <c r="L42" i="15"/>
  <c r="L43" i="15"/>
  <c r="L44" i="15"/>
  <c r="L45" i="15"/>
  <c r="L46" i="15"/>
  <c r="L47" i="15"/>
  <c r="L48" i="15"/>
  <c r="L49" i="15"/>
  <c r="L50" i="15"/>
  <c r="M50" i="15" s="1"/>
  <c r="L51" i="15"/>
  <c r="M51" i="15" s="1"/>
  <c r="O8" i="36" s="1"/>
  <c r="L52" i="15"/>
  <c r="L53" i="15"/>
  <c r="L54" i="15"/>
  <c r="L55" i="15"/>
  <c r="L56" i="15"/>
  <c r="M32" i="15"/>
  <c r="M56" i="15"/>
  <c r="L6" i="15"/>
  <c r="L7" i="15"/>
  <c r="L8" i="15"/>
  <c r="L9" i="15"/>
  <c r="L10" i="15"/>
  <c r="L11" i="15"/>
  <c r="L12" i="15"/>
  <c r="L13" i="15"/>
  <c r="L14" i="15"/>
  <c r="L15" i="15"/>
  <c r="L16" i="15"/>
  <c r="L17" i="15"/>
  <c r="L18" i="15"/>
  <c r="L19" i="15"/>
  <c r="L20" i="15"/>
  <c r="L21" i="15"/>
  <c r="L22" i="15"/>
  <c r="L23" i="15"/>
  <c r="L24" i="15"/>
  <c r="L25" i="15"/>
  <c r="M25" i="15" s="1"/>
  <c r="L26" i="15"/>
  <c r="M26" i="15" s="1"/>
  <c r="L27" i="15"/>
  <c r="M27" i="15" s="1"/>
  <c r="L36" i="25"/>
  <c r="L37" i="25"/>
  <c r="L38" i="25"/>
  <c r="L39" i="25"/>
  <c r="L40" i="25"/>
  <c r="L41" i="25"/>
  <c r="L42" i="25"/>
  <c r="L43" i="25"/>
  <c r="L44" i="25"/>
  <c r="L45" i="25"/>
  <c r="L46" i="25"/>
  <c r="L47" i="25"/>
  <c r="L48" i="25"/>
  <c r="L49" i="25"/>
  <c r="L50" i="25"/>
  <c r="L51" i="25"/>
  <c r="L52" i="25"/>
  <c r="L53" i="25"/>
  <c r="L54" i="25"/>
  <c r="M54" i="25" s="1"/>
  <c r="L55" i="25"/>
  <c r="M55" i="25" s="1"/>
  <c r="L56" i="25"/>
  <c r="M56" i="25" s="1"/>
  <c r="M53" i="25"/>
  <c r="L6" i="25"/>
  <c r="L7" i="25"/>
  <c r="L8" i="25"/>
  <c r="L9" i="25"/>
  <c r="L10" i="25"/>
  <c r="L11" i="25"/>
  <c r="L12" i="25"/>
  <c r="L13" i="25"/>
  <c r="L14" i="25"/>
  <c r="L15" i="25"/>
  <c r="L16" i="25"/>
  <c r="L17" i="25"/>
  <c r="L18" i="25"/>
  <c r="L19" i="25"/>
  <c r="L20" i="25"/>
  <c r="L21" i="25"/>
  <c r="L22" i="25"/>
  <c r="L23" i="25"/>
  <c r="L24" i="25"/>
  <c r="L25" i="25"/>
  <c r="L26" i="25"/>
  <c r="L27" i="25"/>
  <c r="L28" i="25"/>
  <c r="L29" i="25"/>
  <c r="L30" i="25"/>
  <c r="L31" i="25"/>
  <c r="M31" i="25" s="1"/>
  <c r="O3" i="41" s="1"/>
  <c r="L32" i="25"/>
  <c r="M32" i="25" s="1"/>
  <c r="L33" i="25"/>
  <c r="M33" i="25" s="1"/>
  <c r="L34" i="25"/>
  <c r="M34" i="25" s="1"/>
  <c r="L35" i="25"/>
  <c r="M35" i="25" s="1"/>
  <c r="AD24" i="25"/>
  <c r="AD25" i="25"/>
  <c r="AD26" i="25"/>
  <c r="AD27" i="25"/>
  <c r="AD28" i="25"/>
  <c r="AD29" i="25"/>
  <c r="AD30" i="25"/>
  <c r="AD31" i="25"/>
  <c r="AD32" i="25"/>
  <c r="AD33" i="25"/>
  <c r="AD34" i="25"/>
  <c r="AD35" i="25"/>
  <c r="AD36" i="25"/>
  <c r="AD37" i="25"/>
  <c r="AD38" i="25"/>
  <c r="AD39" i="25"/>
  <c r="AD40" i="25"/>
  <c r="AD41" i="25"/>
  <c r="AD42" i="25"/>
  <c r="AD43" i="25"/>
  <c r="AD44" i="25"/>
  <c r="AD45" i="25"/>
  <c r="AD46" i="25"/>
  <c r="AD47" i="25"/>
  <c r="AD48" i="25"/>
  <c r="AD49" i="25"/>
  <c r="AD50" i="25"/>
  <c r="AD51" i="25"/>
  <c r="AE51" i="25" s="1"/>
  <c r="AD52" i="25"/>
  <c r="AD53" i="25"/>
  <c r="AE53" i="25" s="1"/>
  <c r="P8" i="41" s="1"/>
  <c r="AD54" i="25"/>
  <c r="AE54" i="25" s="1"/>
  <c r="AD55" i="25"/>
  <c r="AE55" i="25" s="1"/>
  <c r="AD56" i="25"/>
  <c r="AE52" i="25"/>
  <c r="AE56" i="25"/>
  <c r="AD7" i="25"/>
  <c r="AD8" i="25"/>
  <c r="AD9" i="25"/>
  <c r="AD10" i="25"/>
  <c r="AD11" i="25"/>
  <c r="AD12" i="25"/>
  <c r="AD13" i="25"/>
  <c r="AD14" i="25"/>
  <c r="AD15" i="25"/>
  <c r="AD16" i="25"/>
  <c r="AD17" i="25"/>
  <c r="AD18" i="25"/>
  <c r="AD19" i="25"/>
  <c r="AE19" i="25" s="1"/>
  <c r="AD20" i="25"/>
  <c r="AD21" i="25"/>
  <c r="AD22" i="25"/>
  <c r="AE22" i="25" s="1"/>
  <c r="P9" i="35" s="1"/>
  <c r="AD23" i="25"/>
  <c r="AE23" i="25" s="1"/>
  <c r="AE20" i="25"/>
  <c r="AE21" i="25"/>
  <c r="AD32" i="15"/>
  <c r="AD33" i="15"/>
  <c r="AD34" i="15"/>
  <c r="AD35" i="15"/>
  <c r="AD36" i="15"/>
  <c r="AD37" i="15"/>
  <c r="AD38" i="15"/>
  <c r="AD39" i="15"/>
  <c r="AD40" i="15"/>
  <c r="AD41" i="15"/>
  <c r="AD42" i="15"/>
  <c r="AD43" i="15"/>
  <c r="AD44" i="15"/>
  <c r="AD45" i="15"/>
  <c r="AD46" i="15"/>
  <c r="AD47" i="15"/>
  <c r="AD48" i="15"/>
  <c r="AD49" i="15"/>
  <c r="AD50" i="15"/>
  <c r="AD51" i="15"/>
  <c r="AD52" i="15"/>
  <c r="AD53" i="15"/>
  <c r="AE53" i="15" s="1"/>
  <c r="P6" i="9" s="1"/>
  <c r="AD54" i="15"/>
  <c r="AE54" i="15" s="1"/>
  <c r="P7" i="9" s="1"/>
  <c r="AD55" i="15"/>
  <c r="AE55" i="15" s="1"/>
  <c r="AD56" i="15"/>
  <c r="AE56" i="15"/>
  <c r="AD7" i="15"/>
  <c r="AD8" i="15"/>
  <c r="AD9" i="15"/>
  <c r="AD10" i="15"/>
  <c r="AD11" i="15"/>
  <c r="AD12" i="15"/>
  <c r="AD13" i="15"/>
  <c r="AD14" i="15"/>
  <c r="AD15" i="15"/>
  <c r="AD16" i="15"/>
  <c r="AD17" i="15"/>
  <c r="AE17" i="15" s="1"/>
  <c r="AD18" i="15"/>
  <c r="AD19" i="15"/>
  <c r="AD20" i="15"/>
  <c r="AD21" i="15"/>
  <c r="AD22" i="15"/>
  <c r="AD23" i="15"/>
  <c r="AD24" i="15"/>
  <c r="AD25" i="15"/>
  <c r="AD26" i="15"/>
  <c r="AD27" i="15"/>
  <c r="AD28" i="15"/>
  <c r="AD29" i="15"/>
  <c r="AD30" i="15"/>
  <c r="AE30" i="15" s="1"/>
  <c r="P8" i="36" s="1"/>
  <c r="AD31" i="15"/>
  <c r="AE31" i="15" s="1"/>
  <c r="L6" i="22"/>
  <c r="L7" i="22"/>
  <c r="L8" i="22"/>
  <c r="L9" i="22"/>
  <c r="L10" i="22"/>
  <c r="P10" i="22" s="1"/>
  <c r="L11" i="22"/>
  <c r="P11" i="22" s="1"/>
  <c r="L12" i="22"/>
  <c r="P12" i="22" s="1"/>
  <c r="Q12" i="22" s="1"/>
  <c r="L13" i="22"/>
  <c r="P13" i="22" s="1"/>
  <c r="L14" i="22"/>
  <c r="L15" i="22"/>
  <c r="P15" i="22" s="1"/>
  <c r="L16" i="22"/>
  <c r="P16" i="22" s="1"/>
  <c r="L17" i="22"/>
  <c r="L18" i="22"/>
  <c r="L19" i="22"/>
  <c r="L20" i="22"/>
  <c r="L21" i="22"/>
  <c r="L22" i="22"/>
  <c r="P22" i="22" s="1"/>
  <c r="L23" i="22"/>
  <c r="P23" i="22" s="1"/>
  <c r="L24" i="22"/>
  <c r="P24" i="22" s="1"/>
  <c r="L25" i="22"/>
  <c r="L26" i="22"/>
  <c r="L27" i="22"/>
  <c r="P27" i="22" s="1"/>
  <c r="Q27" i="22" s="1"/>
  <c r="L28" i="22"/>
  <c r="P28" i="22" s="1"/>
  <c r="Q28" i="22" s="1"/>
  <c r="L29" i="22"/>
  <c r="L30" i="22"/>
  <c r="L31" i="22"/>
  <c r="L32" i="22"/>
  <c r="L33" i="22"/>
  <c r="L34" i="22"/>
  <c r="P34" i="22" s="1"/>
  <c r="L35" i="22"/>
  <c r="P35" i="22" s="1"/>
  <c r="L36" i="22"/>
  <c r="P36" i="22" s="1"/>
  <c r="L37" i="22"/>
  <c r="L38" i="22"/>
  <c r="L39" i="22"/>
  <c r="P39" i="22" s="1"/>
  <c r="L40" i="22"/>
  <c r="P40" i="22" s="1"/>
  <c r="L41" i="22"/>
  <c r="P41" i="22" s="1"/>
  <c r="L42" i="22"/>
  <c r="L43" i="22"/>
  <c r="M43" i="22" s="1"/>
  <c r="L44" i="22"/>
  <c r="L45" i="22"/>
  <c r="L46" i="22"/>
  <c r="P46" i="22" s="1"/>
  <c r="L47" i="22"/>
  <c r="P47" i="22" s="1"/>
  <c r="Q47" i="22" s="1"/>
  <c r="L48" i="22"/>
  <c r="P48" i="22" s="1"/>
  <c r="Q48" i="22" s="1"/>
  <c r="L49" i="22"/>
  <c r="L50" i="22"/>
  <c r="L51" i="22"/>
  <c r="P51" i="22" s="1"/>
  <c r="Q51" i="22" s="1"/>
  <c r="L52" i="22"/>
  <c r="P52" i="22" s="1"/>
  <c r="Q52" i="22" s="1"/>
  <c r="M9" i="22"/>
  <c r="M42" i="22"/>
  <c r="O6" i="39" s="1"/>
  <c r="M44" i="22"/>
  <c r="M45" i="22"/>
  <c r="N6" i="22"/>
  <c r="P6" i="22" s="1"/>
  <c r="N7" i="22"/>
  <c r="P7" i="22" s="1"/>
  <c r="N8" i="22"/>
  <c r="N9" i="22"/>
  <c r="N10" i="22"/>
  <c r="N11" i="22"/>
  <c r="N12" i="22"/>
  <c r="N13" i="22"/>
  <c r="N14" i="22"/>
  <c r="N15" i="22"/>
  <c r="N16" i="22"/>
  <c r="N17" i="22"/>
  <c r="N18" i="22"/>
  <c r="N19" i="22"/>
  <c r="N20" i="22"/>
  <c r="N21" i="22"/>
  <c r="N22" i="22"/>
  <c r="N23" i="22"/>
  <c r="N24" i="22"/>
  <c r="N25" i="22"/>
  <c r="N26" i="22"/>
  <c r="N27" i="22"/>
  <c r="N28" i="22"/>
  <c r="N29" i="22"/>
  <c r="N30" i="22"/>
  <c r="O30" i="22" s="1"/>
  <c r="N31" i="22"/>
  <c r="N32" i="22"/>
  <c r="N33" i="22"/>
  <c r="N34" i="22"/>
  <c r="N35" i="22"/>
  <c r="N36" i="22"/>
  <c r="N37" i="22"/>
  <c r="N38" i="22"/>
  <c r="N39" i="22"/>
  <c r="N40" i="22"/>
  <c r="N41" i="22"/>
  <c r="N42" i="22"/>
  <c r="P42" i="22" s="1"/>
  <c r="Q42" i="22" s="1"/>
  <c r="AI6" i="39" s="1"/>
  <c r="N43" i="22"/>
  <c r="P43" i="22" s="1"/>
  <c r="Q43" i="22" s="1"/>
  <c r="N44" i="22"/>
  <c r="N45" i="22"/>
  <c r="O45" i="22" s="1"/>
  <c r="N46" i="22"/>
  <c r="N47" i="22"/>
  <c r="N48" i="22"/>
  <c r="O48" i="22" s="1"/>
  <c r="N49" i="22"/>
  <c r="O49" i="22" s="1"/>
  <c r="N50" i="22"/>
  <c r="O50" i="22" s="1"/>
  <c r="N51" i="22"/>
  <c r="O51" i="22" s="1"/>
  <c r="N52" i="22"/>
  <c r="O43" i="22"/>
  <c r="O44" i="22"/>
  <c r="O46" i="22"/>
  <c r="O47" i="22"/>
  <c r="O52" i="22"/>
  <c r="P8" i="22"/>
  <c r="P9" i="22"/>
  <c r="P18" i="22"/>
  <c r="P19" i="22"/>
  <c r="P20" i="22"/>
  <c r="P21" i="22"/>
  <c r="P29" i="22"/>
  <c r="P30" i="22"/>
  <c r="Q30" i="22" s="1"/>
  <c r="P31" i="22"/>
  <c r="P32" i="22"/>
  <c r="P33" i="22"/>
  <c r="P44" i="22"/>
  <c r="Q44" i="22" s="1"/>
  <c r="P45" i="22"/>
  <c r="Q45" i="22" s="1"/>
  <c r="Q9" i="22"/>
  <c r="Q22" i="22"/>
  <c r="Q46" i="22"/>
  <c r="AP9" i="35" s="1"/>
  <c r="L6" i="27"/>
  <c r="L7" i="27"/>
  <c r="P7" i="27" s="1"/>
  <c r="L8" i="27"/>
  <c r="L9" i="27"/>
  <c r="L10" i="27"/>
  <c r="L11" i="27"/>
  <c r="L12" i="27"/>
  <c r="L13" i="27"/>
  <c r="L14" i="27"/>
  <c r="P14" i="27" s="1"/>
  <c r="L15" i="27"/>
  <c r="P15" i="27" s="1"/>
  <c r="L16" i="27"/>
  <c r="P16" i="27" s="1"/>
  <c r="L17" i="27"/>
  <c r="L18" i="27"/>
  <c r="L19" i="27"/>
  <c r="P19" i="27" s="1"/>
  <c r="L20" i="27"/>
  <c r="L21" i="27"/>
  <c r="L22" i="27"/>
  <c r="L23" i="27"/>
  <c r="L24" i="27"/>
  <c r="L25" i="27"/>
  <c r="M25" i="27" s="1"/>
  <c r="L26" i="27"/>
  <c r="P26" i="27" s="1"/>
  <c r="L27" i="27"/>
  <c r="P27" i="27" s="1"/>
  <c r="L28" i="27"/>
  <c r="P28" i="27" s="1"/>
  <c r="L29" i="27"/>
  <c r="M29" i="27" s="1"/>
  <c r="V3" i="9" s="1"/>
  <c r="L30" i="27"/>
  <c r="L31" i="27"/>
  <c r="P31" i="27" s="1"/>
  <c r="L32" i="27"/>
  <c r="L33" i="27"/>
  <c r="L34" i="27"/>
  <c r="L35" i="27"/>
  <c r="L36" i="27"/>
  <c r="L37" i="27"/>
  <c r="L38" i="27"/>
  <c r="P38" i="27" s="1"/>
  <c r="L39" i="27"/>
  <c r="P39" i="27" s="1"/>
  <c r="Q39" i="27" s="1"/>
  <c r="AI20" i="38" s="1"/>
  <c r="L40" i="27"/>
  <c r="P40" i="27" s="1"/>
  <c r="Q40" i="27" s="1"/>
  <c r="L41" i="27"/>
  <c r="L42" i="27"/>
  <c r="L43" i="27"/>
  <c r="P43" i="27" s="1"/>
  <c r="L44" i="27"/>
  <c r="L45" i="27"/>
  <c r="L46" i="27"/>
  <c r="M46" i="27" s="1"/>
  <c r="L47" i="27"/>
  <c r="L48" i="27"/>
  <c r="L49" i="27"/>
  <c r="M49" i="27" s="1"/>
  <c r="L50" i="27"/>
  <c r="P50" i="27" s="1"/>
  <c r="Q50" i="27" s="1"/>
  <c r="L51" i="27"/>
  <c r="P51" i="27" s="1"/>
  <c r="Q51" i="27" s="1"/>
  <c r="L52" i="27"/>
  <c r="P52" i="27" s="1"/>
  <c r="Q52" i="27" s="1"/>
  <c r="L53" i="27"/>
  <c r="L54" i="27"/>
  <c r="M12" i="27"/>
  <c r="M36" i="27"/>
  <c r="M39" i="27"/>
  <c r="O20" i="38" s="1"/>
  <c r="M40" i="27"/>
  <c r="M47" i="27"/>
  <c r="M48" i="27"/>
  <c r="M50" i="27"/>
  <c r="M51" i="27"/>
  <c r="M52" i="27"/>
  <c r="M54" i="27"/>
  <c r="N6" i="27"/>
  <c r="O6" i="27" s="1"/>
  <c r="N7" i="27"/>
  <c r="N8" i="27"/>
  <c r="N9" i="27"/>
  <c r="N10" i="27"/>
  <c r="N11" i="27"/>
  <c r="N12" i="27"/>
  <c r="N13" i="27"/>
  <c r="N14" i="27"/>
  <c r="N15" i="27"/>
  <c r="N16" i="27"/>
  <c r="N17" i="27"/>
  <c r="N18" i="27"/>
  <c r="O18" i="27" s="1"/>
  <c r="P10" i="38" s="1"/>
  <c r="N19" i="27"/>
  <c r="N20" i="27"/>
  <c r="N21" i="27"/>
  <c r="N22" i="27"/>
  <c r="N23" i="27"/>
  <c r="N24" i="27"/>
  <c r="N25" i="27"/>
  <c r="N26" i="27"/>
  <c r="N27" i="27"/>
  <c r="N28" i="27"/>
  <c r="N29" i="27"/>
  <c r="N30" i="27"/>
  <c r="O30" i="27" s="1"/>
  <c r="W7" i="9" s="1"/>
  <c r="N31" i="27"/>
  <c r="N32" i="27"/>
  <c r="N33" i="27"/>
  <c r="N34" i="27"/>
  <c r="N35" i="27"/>
  <c r="N36" i="27"/>
  <c r="N37" i="27"/>
  <c r="N38" i="27"/>
  <c r="N39" i="27"/>
  <c r="N40" i="27"/>
  <c r="N41" i="27"/>
  <c r="N42" i="27"/>
  <c r="O42" i="27" s="1"/>
  <c r="N43" i="27"/>
  <c r="N44" i="27"/>
  <c r="O44" i="27" s="1"/>
  <c r="N45" i="27"/>
  <c r="N46" i="27"/>
  <c r="N47" i="27"/>
  <c r="O47" i="27" s="1"/>
  <c r="N48" i="27"/>
  <c r="N49" i="27"/>
  <c r="N50" i="27"/>
  <c r="N51" i="27"/>
  <c r="O51" i="27" s="1"/>
  <c r="N52" i="27"/>
  <c r="N53" i="27"/>
  <c r="N54" i="27"/>
  <c r="O54" i="27" s="1"/>
  <c r="O10" i="27"/>
  <c r="O13" i="27"/>
  <c r="W5" i="9" s="1"/>
  <c r="O34" i="27"/>
  <c r="P6" i="38" s="1"/>
  <c r="O46" i="27"/>
  <c r="O48" i="27"/>
  <c r="O49" i="27"/>
  <c r="O50" i="27"/>
  <c r="O52" i="27"/>
  <c r="O53" i="27"/>
  <c r="P9" i="27"/>
  <c r="P12" i="27"/>
  <c r="P13" i="27"/>
  <c r="Q13" i="27" s="1"/>
  <c r="AP5" i="9" s="1"/>
  <c r="P21" i="27"/>
  <c r="P24" i="27"/>
  <c r="P25" i="27"/>
  <c r="Q25" i="27" s="1"/>
  <c r="P33" i="27"/>
  <c r="P36" i="27"/>
  <c r="P37" i="27"/>
  <c r="P45" i="27"/>
  <c r="P48" i="27"/>
  <c r="P49" i="27"/>
  <c r="Q49" i="27" s="1"/>
  <c r="Q12" i="27"/>
  <c r="Q36" i="27"/>
  <c r="Q48" i="27"/>
  <c r="AH7" i="22"/>
  <c r="AH8" i="22"/>
  <c r="AH9" i="22"/>
  <c r="AH10" i="22"/>
  <c r="AH11" i="22"/>
  <c r="AH12" i="22"/>
  <c r="AH13" i="22"/>
  <c r="AH14" i="22"/>
  <c r="AH15" i="22"/>
  <c r="AH16" i="22"/>
  <c r="AH17" i="22"/>
  <c r="AH18" i="22"/>
  <c r="AH19" i="22"/>
  <c r="AH20" i="22"/>
  <c r="AH21" i="22"/>
  <c r="AH22" i="22"/>
  <c r="AI22" i="22" s="1"/>
  <c r="AH23" i="22"/>
  <c r="AH24" i="22"/>
  <c r="AH25" i="22"/>
  <c r="AH26" i="22"/>
  <c r="AI26" i="22" s="1"/>
  <c r="V7" i="41" s="1"/>
  <c r="AH27" i="22"/>
  <c r="AH28" i="22"/>
  <c r="AH29" i="22"/>
  <c r="AH30" i="22"/>
  <c r="AH31" i="22"/>
  <c r="AH32" i="22"/>
  <c r="AH33" i="22"/>
  <c r="AH34" i="22"/>
  <c r="AH35" i="22"/>
  <c r="AH36" i="22"/>
  <c r="AH37" i="22"/>
  <c r="AH38" i="22"/>
  <c r="AH39" i="22"/>
  <c r="AH40" i="22"/>
  <c r="AI40" i="22" s="1"/>
  <c r="AH41" i="22"/>
  <c r="AH42" i="22"/>
  <c r="AI17" i="22"/>
  <c r="AI32" i="22"/>
  <c r="AI35" i="22"/>
  <c r="AI42" i="22"/>
  <c r="V5" i="37" s="1"/>
  <c r="AJ7" i="22"/>
  <c r="AJ8" i="22"/>
  <c r="AJ9" i="22"/>
  <c r="AJ10" i="22"/>
  <c r="AJ11" i="22"/>
  <c r="AJ12" i="22"/>
  <c r="AJ13" i="22"/>
  <c r="AJ14" i="22"/>
  <c r="AJ15" i="22"/>
  <c r="AJ16" i="22"/>
  <c r="AJ17" i="22"/>
  <c r="AK17" i="22" s="1"/>
  <c r="AJ18" i="22"/>
  <c r="AJ19" i="22"/>
  <c r="AJ20" i="22"/>
  <c r="AJ21" i="22"/>
  <c r="AJ22" i="22"/>
  <c r="AJ23" i="22"/>
  <c r="AJ24" i="22"/>
  <c r="AJ25" i="22"/>
  <c r="AJ26" i="22"/>
  <c r="AJ27" i="22"/>
  <c r="AJ28" i="22"/>
  <c r="AJ29" i="22"/>
  <c r="AJ30" i="22"/>
  <c r="AJ31" i="22"/>
  <c r="AJ32" i="22"/>
  <c r="AJ33" i="22"/>
  <c r="AJ34" i="22"/>
  <c r="AJ35" i="22"/>
  <c r="AJ36" i="22"/>
  <c r="AJ37" i="22"/>
  <c r="AJ38" i="22"/>
  <c r="AJ39" i="22"/>
  <c r="AJ40" i="22"/>
  <c r="AJ41" i="22"/>
  <c r="AJ42" i="22"/>
  <c r="AK16" i="22"/>
  <c r="AK26" i="22"/>
  <c r="W7" i="41" s="1"/>
  <c r="AK28" i="22"/>
  <c r="AK32" i="22"/>
  <c r="AK37" i="22"/>
  <c r="AK38" i="22"/>
  <c r="AK40" i="22"/>
  <c r="AK41" i="22"/>
  <c r="AK42" i="22"/>
  <c r="W5" i="37" s="1"/>
  <c r="AL7" i="22"/>
  <c r="AL8" i="22"/>
  <c r="AL9" i="22"/>
  <c r="AL10" i="22"/>
  <c r="AL11" i="22"/>
  <c r="AL12" i="22"/>
  <c r="AL13" i="22"/>
  <c r="AL14" i="22"/>
  <c r="AL15" i="22"/>
  <c r="AL16" i="22"/>
  <c r="AL19" i="22"/>
  <c r="AL20" i="22"/>
  <c r="AL21" i="22"/>
  <c r="AL22" i="22"/>
  <c r="AM22" i="22" s="1"/>
  <c r="AL23" i="22"/>
  <c r="AL24" i="22"/>
  <c r="AL25" i="22"/>
  <c r="AL29" i="22"/>
  <c r="AL31" i="22"/>
  <c r="AL32" i="22"/>
  <c r="AL33" i="22"/>
  <c r="AL34" i="22"/>
  <c r="AL35" i="22"/>
  <c r="AL36" i="22"/>
  <c r="AL37" i="22"/>
  <c r="AM37" i="22" s="1"/>
  <c r="AL41" i="22"/>
  <c r="AL42" i="22"/>
  <c r="AM16" i="22"/>
  <c r="AM32" i="22"/>
  <c r="AM35" i="22"/>
  <c r="AM41" i="22"/>
  <c r="AM42" i="22"/>
  <c r="AP5" i="37" s="1"/>
  <c r="AH7" i="27"/>
  <c r="AH8" i="27"/>
  <c r="AH9" i="27"/>
  <c r="AH10" i="27"/>
  <c r="AH11" i="27"/>
  <c r="AH12" i="27"/>
  <c r="AH13" i="27"/>
  <c r="AH14" i="27"/>
  <c r="AH15" i="27"/>
  <c r="AH16" i="27"/>
  <c r="AH17" i="27"/>
  <c r="AH18" i="27"/>
  <c r="AH19" i="27"/>
  <c r="AH20" i="27"/>
  <c r="AH21" i="27"/>
  <c r="AH22" i="27"/>
  <c r="AH23" i="27"/>
  <c r="AH24" i="27"/>
  <c r="AH25" i="27"/>
  <c r="AH26" i="27"/>
  <c r="AH27" i="27"/>
  <c r="AH28" i="27"/>
  <c r="AH29" i="27"/>
  <c r="AH30" i="27"/>
  <c r="AL30" i="27" s="1"/>
  <c r="AH31" i="27"/>
  <c r="AH32" i="27"/>
  <c r="AH33" i="27"/>
  <c r="AH34" i="27"/>
  <c r="AH35" i="27"/>
  <c r="AH36" i="27"/>
  <c r="AH37" i="27"/>
  <c r="AH38" i="27"/>
  <c r="AI7" i="27"/>
  <c r="AJ7" i="27"/>
  <c r="AJ8" i="27"/>
  <c r="AJ9" i="27"/>
  <c r="AJ10" i="27"/>
  <c r="AJ11" i="27"/>
  <c r="AJ12" i="27"/>
  <c r="AJ13" i="27"/>
  <c r="AJ14" i="27"/>
  <c r="AJ15" i="27"/>
  <c r="AJ16" i="27"/>
  <c r="AJ17" i="27"/>
  <c r="AJ18" i="27"/>
  <c r="AJ19" i="27"/>
  <c r="AJ20" i="27"/>
  <c r="AJ21" i="27"/>
  <c r="AJ22" i="27"/>
  <c r="AJ23" i="27"/>
  <c r="AJ24" i="27"/>
  <c r="AJ25" i="27"/>
  <c r="AJ26" i="27"/>
  <c r="AJ27" i="27"/>
  <c r="AJ28" i="27"/>
  <c r="AJ29" i="27"/>
  <c r="AJ30" i="27"/>
  <c r="AJ31" i="27"/>
  <c r="AJ32" i="27"/>
  <c r="AK32" i="27" s="1"/>
  <c r="W9" i="40" s="1"/>
  <c r="AJ33" i="27"/>
  <c r="AJ34" i="27"/>
  <c r="AJ35" i="27"/>
  <c r="AJ36" i="27"/>
  <c r="AK36" i="27" s="1"/>
  <c r="AJ37" i="27"/>
  <c r="AJ38" i="27"/>
  <c r="AK38" i="27" s="1"/>
  <c r="W8" i="36" s="1"/>
  <c r="AK17" i="27"/>
  <c r="AL7" i="27"/>
  <c r="AM7" i="27" s="1"/>
  <c r="AL8" i="27"/>
  <c r="AL9" i="27"/>
  <c r="AL10" i="27"/>
  <c r="AL18" i="27"/>
  <c r="AL19" i="27"/>
  <c r="AL20" i="27"/>
  <c r="AL21" i="27"/>
  <c r="AL22" i="27"/>
  <c r="AL31" i="27"/>
  <c r="AL32" i="27"/>
  <c r="AM32" i="27" s="1"/>
  <c r="AL33" i="27"/>
  <c r="AL34" i="27"/>
  <c r="L6" i="28"/>
  <c r="L7" i="28"/>
  <c r="L8" i="28"/>
  <c r="M8" i="28" s="1"/>
  <c r="Q4" i="39" s="1"/>
  <c r="L9" i="28"/>
  <c r="L10" i="28"/>
  <c r="P10" i="28" s="1"/>
  <c r="L11" i="28"/>
  <c r="P11" i="28" s="1"/>
  <c r="L12" i="28"/>
  <c r="P12" i="28" s="1"/>
  <c r="L13" i="28"/>
  <c r="P13" i="28" s="1"/>
  <c r="L14" i="28"/>
  <c r="L15" i="28"/>
  <c r="L16" i="28"/>
  <c r="L17" i="28"/>
  <c r="L18" i="28"/>
  <c r="L19" i="28"/>
  <c r="L20" i="28"/>
  <c r="L21" i="28"/>
  <c r="L22" i="28"/>
  <c r="P22" i="28" s="1"/>
  <c r="L23" i="28"/>
  <c r="P23" i="28" s="1"/>
  <c r="Q23" i="28" s="1"/>
  <c r="AJ17" i="39" s="1"/>
  <c r="L24" i="28"/>
  <c r="P24" i="28" s="1"/>
  <c r="Q24" i="28" s="1"/>
  <c r="L25" i="28"/>
  <c r="P25" i="28" s="1"/>
  <c r="L26" i="28"/>
  <c r="L27" i="28"/>
  <c r="L28" i="28"/>
  <c r="L29" i="28"/>
  <c r="L30" i="28"/>
  <c r="L31" i="28"/>
  <c r="L32" i="28"/>
  <c r="L33" i="28"/>
  <c r="L34" i="28"/>
  <c r="P34" i="28" s="1"/>
  <c r="L35" i="28"/>
  <c r="P35" i="28" s="1"/>
  <c r="L36" i="28"/>
  <c r="P36" i="28" s="1"/>
  <c r="L37" i="28"/>
  <c r="P37" i="28" s="1"/>
  <c r="Q37" i="28" s="1"/>
  <c r="AQ20" i="35" s="1"/>
  <c r="L38" i="28"/>
  <c r="L39" i="28"/>
  <c r="L40" i="28"/>
  <c r="L41" i="28"/>
  <c r="L42" i="28"/>
  <c r="L43" i="28"/>
  <c r="L44" i="28"/>
  <c r="M44" i="28" s="1"/>
  <c r="L45" i="28"/>
  <c r="L46" i="28"/>
  <c r="P46" i="28" s="1"/>
  <c r="L47" i="28"/>
  <c r="P47" i="28" s="1"/>
  <c r="L48" i="28"/>
  <c r="P48" i="28" s="1"/>
  <c r="Q48" i="28" s="1"/>
  <c r="L49" i="28"/>
  <c r="P49" i="28" s="1"/>
  <c r="Q49" i="28" s="1"/>
  <c r="AQ9" i="35" s="1"/>
  <c r="L50" i="28"/>
  <c r="L51" i="28"/>
  <c r="M51" i="28" s="1"/>
  <c r="L52" i="28"/>
  <c r="M14" i="28"/>
  <c r="M23" i="28"/>
  <c r="Q17" i="39" s="1"/>
  <c r="M28" i="28"/>
  <c r="M30" i="28"/>
  <c r="M50" i="28"/>
  <c r="Q8" i="39" s="1"/>
  <c r="M52" i="28"/>
  <c r="N6" i="28"/>
  <c r="P6" i="28" s="1"/>
  <c r="N7" i="28"/>
  <c r="P7" i="28" s="1"/>
  <c r="Q7" i="28" s="1"/>
  <c r="N8" i="28"/>
  <c r="N9" i="28"/>
  <c r="N10" i="28"/>
  <c r="O10" i="28" s="1"/>
  <c r="N11" i="28"/>
  <c r="N12" i="28"/>
  <c r="O12" i="28" s="1"/>
  <c r="N13" i="28"/>
  <c r="N14" i="28"/>
  <c r="P14" i="28" s="1"/>
  <c r="Q14" i="28" s="1"/>
  <c r="N15" i="28"/>
  <c r="P15" i="28" s="1"/>
  <c r="N16" i="28"/>
  <c r="N17" i="28"/>
  <c r="O17" i="28" s="1"/>
  <c r="N18" i="28"/>
  <c r="P18" i="28" s="1"/>
  <c r="N19" i="28"/>
  <c r="P19" i="28" s="1"/>
  <c r="N20" i="28"/>
  <c r="N21" i="28"/>
  <c r="N22" i="28"/>
  <c r="O22" i="28" s="1"/>
  <c r="R7" i="39" s="1"/>
  <c r="N23" i="28"/>
  <c r="N24" i="28"/>
  <c r="O24" i="28" s="1"/>
  <c r="N25" i="28"/>
  <c r="N26" i="28"/>
  <c r="P26" i="28" s="1"/>
  <c r="N27" i="28"/>
  <c r="P27" i="28" s="1"/>
  <c r="N28" i="28"/>
  <c r="N29" i="28"/>
  <c r="O29" i="28" s="1"/>
  <c r="R5" i="39" s="1"/>
  <c r="N30" i="28"/>
  <c r="P30" i="28" s="1"/>
  <c r="Q30" i="28" s="1"/>
  <c r="N31" i="28"/>
  <c r="P31" i="28" s="1"/>
  <c r="N32" i="28"/>
  <c r="N33" i="28"/>
  <c r="N34" i="28"/>
  <c r="O34" i="28" s="1"/>
  <c r="N35" i="28"/>
  <c r="N36" i="28"/>
  <c r="O36" i="28" s="1"/>
  <c r="N37" i="28"/>
  <c r="N38" i="28"/>
  <c r="P38" i="28" s="1"/>
  <c r="N39" i="28"/>
  <c r="P39" i="28" s="1"/>
  <c r="N40" i="28"/>
  <c r="N41" i="28"/>
  <c r="O41" i="28" s="1"/>
  <c r="Y4" i="35" s="1"/>
  <c r="N42" i="28"/>
  <c r="P42" i="28" s="1"/>
  <c r="N43" i="28"/>
  <c r="P43" i="28" s="1"/>
  <c r="N44" i="28"/>
  <c r="N45" i="28"/>
  <c r="N46" i="28"/>
  <c r="O46" i="28" s="1"/>
  <c r="Y12" i="35" s="1"/>
  <c r="N47" i="28"/>
  <c r="O47" i="28" s="1"/>
  <c r="R6" i="39" s="1"/>
  <c r="N48" i="28"/>
  <c r="O48" i="28" s="1"/>
  <c r="N49" i="28"/>
  <c r="N50" i="28"/>
  <c r="P50" i="28" s="1"/>
  <c r="Q50" i="28" s="1"/>
  <c r="AJ8" i="39" s="1"/>
  <c r="N51" i="28"/>
  <c r="P51" i="28" s="1"/>
  <c r="Q51" i="28" s="1"/>
  <c r="N52" i="28"/>
  <c r="O49" i="28"/>
  <c r="Y9" i="35" s="1"/>
  <c r="O52" i="28"/>
  <c r="P8" i="28"/>
  <c r="P9" i="28"/>
  <c r="P16" i="28"/>
  <c r="P17" i="28"/>
  <c r="P20" i="28"/>
  <c r="P21" i="28"/>
  <c r="P28" i="28"/>
  <c r="Q28" i="28" s="1"/>
  <c r="P29" i="28"/>
  <c r="P32" i="28"/>
  <c r="P33" i="28"/>
  <c r="P40" i="28"/>
  <c r="P41" i="28"/>
  <c r="P44" i="28"/>
  <c r="P45" i="28"/>
  <c r="P52" i="28"/>
  <c r="Q52" i="28" s="1"/>
  <c r="Q8" i="28"/>
  <c r="Q44" i="28"/>
  <c r="L6" i="26"/>
  <c r="L7" i="26"/>
  <c r="L8" i="26"/>
  <c r="L9" i="26"/>
  <c r="L10" i="26"/>
  <c r="L11" i="26"/>
  <c r="L12" i="26"/>
  <c r="L13" i="26"/>
  <c r="P13" i="26" s="1"/>
  <c r="L14" i="26"/>
  <c r="L15" i="26"/>
  <c r="P15" i="26" s="1"/>
  <c r="L16" i="26"/>
  <c r="P16" i="26" s="1"/>
  <c r="L17" i="26"/>
  <c r="L18" i="26"/>
  <c r="L19" i="26"/>
  <c r="L20" i="26"/>
  <c r="L21" i="26"/>
  <c r="P21" i="26" s="1"/>
  <c r="Q21" i="26" s="1"/>
  <c r="AJ11" i="38" s="1"/>
  <c r="L22" i="26"/>
  <c r="L23" i="26"/>
  <c r="L24" i="26"/>
  <c r="L25" i="26"/>
  <c r="L26" i="26"/>
  <c r="L27" i="26"/>
  <c r="P27" i="26" s="1"/>
  <c r="L28" i="26"/>
  <c r="L29" i="26"/>
  <c r="L30" i="26"/>
  <c r="L31" i="26"/>
  <c r="L32" i="26"/>
  <c r="L33" i="26"/>
  <c r="L34" i="26"/>
  <c r="L35" i="26"/>
  <c r="L36" i="26"/>
  <c r="L37" i="26"/>
  <c r="L38" i="26"/>
  <c r="L39" i="26"/>
  <c r="P39" i="26" s="1"/>
  <c r="L40" i="26"/>
  <c r="L41" i="26"/>
  <c r="L42" i="26"/>
  <c r="L43" i="26"/>
  <c r="L44" i="26"/>
  <c r="L45" i="26"/>
  <c r="P45" i="26" s="1"/>
  <c r="L46" i="26"/>
  <c r="L47" i="26"/>
  <c r="L48" i="26"/>
  <c r="L49" i="26"/>
  <c r="L50" i="26"/>
  <c r="L51" i="26"/>
  <c r="P51" i="26" s="1"/>
  <c r="Q51" i="26" s="1"/>
  <c r="AQ16" i="9" s="1"/>
  <c r="L52" i="26"/>
  <c r="P52" i="26" s="1"/>
  <c r="Q52" i="26" s="1"/>
  <c r="AQ7" i="9" s="1"/>
  <c r="L53" i="26"/>
  <c r="L54" i="26"/>
  <c r="M24" i="26"/>
  <c r="M35" i="26"/>
  <c r="Q6" i="38" s="1"/>
  <c r="M54" i="26"/>
  <c r="N6" i="26"/>
  <c r="P6" i="26" s="1"/>
  <c r="N7" i="26"/>
  <c r="N8" i="26"/>
  <c r="N9" i="26"/>
  <c r="N10" i="26"/>
  <c r="N11" i="26"/>
  <c r="P11" i="26" s="1"/>
  <c r="Q11" i="26" s="1"/>
  <c r="N12" i="26"/>
  <c r="P12" i="26" s="1"/>
  <c r="N13" i="26"/>
  <c r="N14" i="26"/>
  <c r="N15" i="26"/>
  <c r="N16" i="26"/>
  <c r="N17" i="26"/>
  <c r="N18" i="26"/>
  <c r="P18" i="26" s="1"/>
  <c r="N19" i="26"/>
  <c r="N20" i="26"/>
  <c r="N21" i="26"/>
  <c r="N22" i="26"/>
  <c r="N23" i="26"/>
  <c r="N24" i="26"/>
  <c r="N25" i="26"/>
  <c r="N26" i="26"/>
  <c r="N27" i="26"/>
  <c r="N28" i="26"/>
  <c r="N29" i="26"/>
  <c r="N30" i="26"/>
  <c r="P30" i="26" s="1"/>
  <c r="N31" i="26"/>
  <c r="N32" i="26"/>
  <c r="N33" i="26"/>
  <c r="N34" i="26"/>
  <c r="N35" i="26"/>
  <c r="P35" i="26" s="1"/>
  <c r="Q35" i="26" s="1"/>
  <c r="AJ6" i="38" s="1"/>
  <c r="N36" i="26"/>
  <c r="P36" i="26" s="1"/>
  <c r="N37" i="26"/>
  <c r="N38" i="26"/>
  <c r="N39" i="26"/>
  <c r="N40" i="26"/>
  <c r="N41" i="26"/>
  <c r="N42" i="26"/>
  <c r="P42" i="26" s="1"/>
  <c r="N43" i="26"/>
  <c r="N44" i="26"/>
  <c r="N45" i="26"/>
  <c r="N46" i="26"/>
  <c r="N47" i="26"/>
  <c r="N48" i="26"/>
  <c r="N49" i="26"/>
  <c r="N50" i="26"/>
  <c r="N51" i="26"/>
  <c r="O51" i="26" s="1"/>
  <c r="N52" i="26"/>
  <c r="N53" i="26"/>
  <c r="N54" i="26"/>
  <c r="P54" i="26" s="1"/>
  <c r="Q54" i="26" s="1"/>
  <c r="O20" i="26"/>
  <c r="O21" i="26"/>
  <c r="O52" i="26"/>
  <c r="O53" i="26"/>
  <c r="O54" i="26"/>
  <c r="P8" i="26"/>
  <c r="P9" i="26"/>
  <c r="P10" i="26"/>
  <c r="P20" i="26"/>
  <c r="P22" i="26"/>
  <c r="P32" i="26"/>
  <c r="P34" i="26"/>
  <c r="P44" i="26"/>
  <c r="P46" i="26"/>
  <c r="P47" i="26"/>
  <c r="P48" i="26"/>
  <c r="P49" i="26"/>
  <c r="Q20" i="26"/>
  <c r="AH6" i="28"/>
  <c r="AH7" i="28"/>
  <c r="AH8" i="28"/>
  <c r="AH9" i="28"/>
  <c r="AI9" i="28" s="1"/>
  <c r="X5" i="37" s="1"/>
  <c r="AH10" i="28"/>
  <c r="AH11" i="28"/>
  <c r="AH12" i="28"/>
  <c r="AL12" i="28" s="1"/>
  <c r="AH13" i="28"/>
  <c r="AH14" i="28"/>
  <c r="AH15" i="28"/>
  <c r="AH16" i="28"/>
  <c r="AH17" i="28"/>
  <c r="AH18" i="28"/>
  <c r="AH19" i="28"/>
  <c r="AL19" i="28" s="1"/>
  <c r="AH20" i="28"/>
  <c r="AL20" i="28" s="1"/>
  <c r="AH21" i="28"/>
  <c r="AH22" i="28"/>
  <c r="AH23" i="28"/>
  <c r="AH24" i="28"/>
  <c r="AL24" i="28" s="1"/>
  <c r="AH25" i="28"/>
  <c r="AH26" i="28"/>
  <c r="AH27" i="28"/>
  <c r="AH28" i="28"/>
  <c r="AH29" i="28"/>
  <c r="AH30" i="28"/>
  <c r="AH31" i="28"/>
  <c r="AH32" i="28"/>
  <c r="AH33" i="28"/>
  <c r="AH34" i="28"/>
  <c r="AH35" i="28"/>
  <c r="AH36" i="28"/>
  <c r="AL36" i="28" s="1"/>
  <c r="AH37" i="28"/>
  <c r="AI37" i="28" s="1"/>
  <c r="AH38" i="28"/>
  <c r="AH39" i="28"/>
  <c r="AH40" i="28"/>
  <c r="AH41" i="28"/>
  <c r="AI41" i="28" s="1"/>
  <c r="X7" i="41" s="1"/>
  <c r="AH42" i="28"/>
  <c r="AI18" i="28"/>
  <c r="AI22" i="28"/>
  <c r="AI27" i="28"/>
  <c r="AI38" i="28"/>
  <c r="AI39" i="28"/>
  <c r="AI40" i="28"/>
  <c r="AI42" i="28"/>
  <c r="AJ6" i="28"/>
  <c r="AJ7" i="28"/>
  <c r="AJ8" i="28"/>
  <c r="AJ9" i="28"/>
  <c r="AJ10" i="28"/>
  <c r="AJ11" i="28"/>
  <c r="AJ12" i="28"/>
  <c r="AJ13" i="28"/>
  <c r="AJ14" i="28"/>
  <c r="AL14" i="28" s="1"/>
  <c r="AJ15" i="28"/>
  <c r="AJ16" i="28"/>
  <c r="AJ17" i="28"/>
  <c r="AJ18" i="28"/>
  <c r="AJ19" i="28"/>
  <c r="AJ20" i="28"/>
  <c r="AJ21" i="28"/>
  <c r="AJ22" i="28"/>
  <c r="AJ23" i="28"/>
  <c r="AJ24" i="28"/>
  <c r="AJ25" i="28"/>
  <c r="AJ26" i="28"/>
  <c r="AL26" i="28" s="1"/>
  <c r="AJ27" i="28"/>
  <c r="AJ28" i="28"/>
  <c r="AJ29" i="28"/>
  <c r="AJ30" i="28"/>
  <c r="AJ31" i="28"/>
  <c r="AL31" i="28" s="1"/>
  <c r="AJ32" i="28"/>
  <c r="AL32" i="28" s="1"/>
  <c r="AJ33" i="28"/>
  <c r="AJ34" i="28"/>
  <c r="AJ35" i="28"/>
  <c r="AJ36" i="28"/>
  <c r="AJ37" i="28"/>
  <c r="AJ38" i="28"/>
  <c r="AL38" i="28" s="1"/>
  <c r="AM38" i="28" s="1"/>
  <c r="AJ39" i="28"/>
  <c r="AK39" i="28" s="1"/>
  <c r="AJ40" i="28"/>
  <c r="AK40" i="28" s="1"/>
  <c r="AJ41" i="28"/>
  <c r="AJ42" i="28"/>
  <c r="AK9" i="28"/>
  <c r="AK37" i="28"/>
  <c r="AK41" i="28"/>
  <c r="Y7" i="41" s="1"/>
  <c r="AK42" i="28"/>
  <c r="AL6" i="28"/>
  <c r="AL7" i="28"/>
  <c r="AL8" i="28"/>
  <c r="AL9" i="28"/>
  <c r="AM9" i="28" s="1"/>
  <c r="AQ5" i="37" s="1"/>
  <c r="AL18" i="28"/>
  <c r="AL21" i="28"/>
  <c r="AL30" i="28"/>
  <c r="AL33" i="28"/>
  <c r="AL42" i="28"/>
  <c r="AM18" i="28"/>
  <c r="AM42" i="28"/>
  <c r="AH7" i="26"/>
  <c r="AH8" i="26"/>
  <c r="AH9" i="26"/>
  <c r="AH10" i="26"/>
  <c r="AH11" i="26"/>
  <c r="AH12" i="26"/>
  <c r="AH13" i="26"/>
  <c r="AH14" i="26"/>
  <c r="AI14" i="26" s="1"/>
  <c r="AH15" i="26"/>
  <c r="AI15" i="26" s="1"/>
  <c r="AH16" i="26"/>
  <c r="AH17" i="26"/>
  <c r="AH18" i="26"/>
  <c r="AH19" i="26"/>
  <c r="AH20" i="26"/>
  <c r="AH21" i="26"/>
  <c r="AI21" i="26" s="1"/>
  <c r="X9" i="36" s="1"/>
  <c r="AH22" i="26"/>
  <c r="AH23" i="26"/>
  <c r="AH24" i="26"/>
  <c r="AH25" i="26"/>
  <c r="AH26" i="26"/>
  <c r="AH27" i="26"/>
  <c r="AH28" i="26"/>
  <c r="AH29" i="26"/>
  <c r="AH30" i="26"/>
  <c r="AH31" i="26"/>
  <c r="AH32" i="26"/>
  <c r="AH33" i="26"/>
  <c r="AH34" i="26"/>
  <c r="AH35" i="26"/>
  <c r="AH36" i="26"/>
  <c r="AI36" i="26" s="1"/>
  <c r="X10" i="36" s="1"/>
  <c r="AH37" i="26"/>
  <c r="AH38" i="26"/>
  <c r="AI38" i="26" s="1"/>
  <c r="X8" i="36" s="1"/>
  <c r="AI30" i="26"/>
  <c r="AI37" i="26"/>
  <c r="AJ7" i="26"/>
  <c r="AK7" i="26" s="1"/>
  <c r="Y4" i="36" s="1"/>
  <c r="AJ8" i="26"/>
  <c r="AK8" i="26" s="1"/>
  <c r="AJ9" i="26"/>
  <c r="AL9" i="26" s="1"/>
  <c r="AJ10" i="26"/>
  <c r="AJ11" i="26"/>
  <c r="AL11" i="26" s="1"/>
  <c r="AJ12" i="26"/>
  <c r="AJ13" i="26"/>
  <c r="AJ14" i="26"/>
  <c r="AJ15" i="26"/>
  <c r="AJ16" i="26"/>
  <c r="AJ17" i="26"/>
  <c r="AL17" i="26" s="1"/>
  <c r="AJ18" i="26"/>
  <c r="AJ19" i="26"/>
  <c r="AK19" i="26" s="1"/>
  <c r="AJ20" i="26"/>
  <c r="AK20" i="26" s="1"/>
  <c r="AJ21" i="26"/>
  <c r="AJ22" i="26"/>
  <c r="AK22" i="26" s="1"/>
  <c r="Y8" i="40" s="1"/>
  <c r="AJ23" i="26"/>
  <c r="AL23" i="26" s="1"/>
  <c r="AJ24" i="26"/>
  <c r="AJ25" i="26"/>
  <c r="AJ26" i="26"/>
  <c r="AJ27" i="26"/>
  <c r="AJ28" i="26"/>
  <c r="AJ29" i="26"/>
  <c r="AL29" i="26" s="1"/>
  <c r="AJ30" i="26"/>
  <c r="AK30" i="26" s="1"/>
  <c r="Y9" i="40" s="1"/>
  <c r="AJ31" i="26"/>
  <c r="AK31" i="26" s="1"/>
  <c r="AJ32" i="26"/>
  <c r="AK32" i="26" s="1"/>
  <c r="AJ33" i="26"/>
  <c r="AJ34" i="26"/>
  <c r="AJ35" i="26"/>
  <c r="AL35" i="26" s="1"/>
  <c r="AJ36" i="26"/>
  <c r="AJ37" i="26"/>
  <c r="AJ38" i="26"/>
  <c r="AK36" i="26"/>
  <c r="AK37" i="26"/>
  <c r="AK38" i="26"/>
  <c r="AL13" i="26"/>
  <c r="AL14" i="26"/>
  <c r="AL15" i="26"/>
  <c r="AL16" i="26"/>
  <c r="AL18" i="26"/>
  <c r="AL25" i="26"/>
  <c r="AL26" i="26"/>
  <c r="AL27" i="26"/>
  <c r="AL28" i="26"/>
  <c r="AL30" i="26"/>
  <c r="AM30" i="26" s="1"/>
  <c r="AQ9" i="40" s="1"/>
  <c r="AL37" i="26"/>
  <c r="AM37" i="26" s="1"/>
  <c r="AK22" i="39"/>
  <c r="Z22" i="39"/>
  <c r="AA22" i="39"/>
  <c r="AB22" i="39"/>
  <c r="S22" i="39"/>
  <c r="T22" i="39"/>
  <c r="D22" i="39"/>
  <c r="E22" i="39"/>
  <c r="F22" i="39"/>
  <c r="G22" i="39"/>
  <c r="H22" i="39"/>
  <c r="I22" i="39"/>
  <c r="AH8" i="41"/>
  <c r="AG8" i="41"/>
  <c r="G8" i="41"/>
  <c r="F8" i="41"/>
  <c r="E8" i="41"/>
  <c r="D8" i="41"/>
  <c r="AH7" i="41"/>
  <c r="AG7" i="41"/>
  <c r="G7" i="41"/>
  <c r="F7" i="41"/>
  <c r="E7" i="41"/>
  <c r="D7" i="41"/>
  <c r="AH6" i="41"/>
  <c r="AG6" i="41"/>
  <c r="G6" i="41"/>
  <c r="F6" i="41"/>
  <c r="E6" i="41"/>
  <c r="D6" i="41"/>
  <c r="AH5" i="41"/>
  <c r="AG5" i="41"/>
  <c r="G5" i="41"/>
  <c r="F5" i="41"/>
  <c r="E5" i="41"/>
  <c r="D5" i="41"/>
  <c r="AR4" i="41"/>
  <c r="AQ4" i="41"/>
  <c r="AP4" i="41"/>
  <c r="AI4" i="41"/>
  <c r="AH4" i="41"/>
  <c r="AG4" i="41"/>
  <c r="AA4" i="41"/>
  <c r="Z4" i="41"/>
  <c r="Y4" i="41"/>
  <c r="X4" i="41"/>
  <c r="W4" i="41"/>
  <c r="V4" i="41"/>
  <c r="P4" i="41"/>
  <c r="O4" i="41"/>
  <c r="I4" i="41"/>
  <c r="H4" i="41"/>
  <c r="G4" i="41"/>
  <c r="F4" i="41"/>
  <c r="E4" i="41"/>
  <c r="D4" i="41"/>
  <c r="AH3" i="41"/>
  <c r="AG3" i="41"/>
  <c r="G3" i="41"/>
  <c r="F3" i="41"/>
  <c r="E3" i="41"/>
  <c r="D3" i="41"/>
  <c r="AH11" i="40"/>
  <c r="AG11" i="40"/>
  <c r="G11" i="40"/>
  <c r="F11" i="40"/>
  <c r="E11" i="40"/>
  <c r="D11" i="40"/>
  <c r="AR10" i="40"/>
  <c r="AQ10" i="40"/>
  <c r="AP10" i="40"/>
  <c r="AI10" i="40"/>
  <c r="AH10" i="40"/>
  <c r="AG10" i="40"/>
  <c r="AA10" i="40"/>
  <c r="Z10" i="40"/>
  <c r="Y10" i="40"/>
  <c r="X10" i="40"/>
  <c r="W10" i="40"/>
  <c r="V10" i="40"/>
  <c r="P10" i="40"/>
  <c r="O10" i="40"/>
  <c r="I10" i="40"/>
  <c r="H10" i="40"/>
  <c r="G10" i="40"/>
  <c r="F10" i="40"/>
  <c r="E10" i="40"/>
  <c r="D10" i="40"/>
  <c r="AR9" i="40"/>
  <c r="AP9" i="40"/>
  <c r="AI9" i="40"/>
  <c r="AH9" i="40"/>
  <c r="AG9" i="40"/>
  <c r="AA9" i="40"/>
  <c r="Z9" i="40"/>
  <c r="X9" i="40"/>
  <c r="I9" i="40"/>
  <c r="H9" i="40"/>
  <c r="G9" i="40"/>
  <c r="F9" i="40"/>
  <c r="E9" i="40"/>
  <c r="D9" i="40"/>
  <c r="AH8" i="40"/>
  <c r="AG8" i="40"/>
  <c r="G8" i="40"/>
  <c r="F8" i="40"/>
  <c r="E8" i="40"/>
  <c r="D8" i="40"/>
  <c r="AR7" i="40"/>
  <c r="AQ7" i="40"/>
  <c r="AP7" i="40"/>
  <c r="AI7" i="40"/>
  <c r="AH7" i="40"/>
  <c r="AG7" i="40"/>
  <c r="AA7" i="40"/>
  <c r="Z7" i="40"/>
  <c r="Y7" i="40"/>
  <c r="X7" i="40"/>
  <c r="W7" i="40"/>
  <c r="V7" i="40"/>
  <c r="P7" i="40"/>
  <c r="O7" i="40"/>
  <c r="I7" i="40"/>
  <c r="H7" i="40"/>
  <c r="G7" i="40"/>
  <c r="F7" i="40"/>
  <c r="E7" i="40"/>
  <c r="D7" i="40"/>
  <c r="AH6" i="40"/>
  <c r="AG6" i="40"/>
  <c r="P6" i="40"/>
  <c r="O6" i="40"/>
  <c r="G6" i="40"/>
  <c r="F6" i="40"/>
  <c r="E6" i="40"/>
  <c r="D6" i="40"/>
  <c r="AQ5" i="40"/>
  <c r="AP5" i="40"/>
  <c r="AH5" i="40"/>
  <c r="AG5" i="40"/>
  <c r="Y5" i="40"/>
  <c r="X5" i="40"/>
  <c r="W5" i="40"/>
  <c r="V5" i="40"/>
  <c r="P5" i="40"/>
  <c r="O5" i="40"/>
  <c r="G5" i="40"/>
  <c r="F5" i="40"/>
  <c r="E5" i="40"/>
  <c r="D5" i="40"/>
  <c r="AR4" i="40"/>
  <c r="AQ4" i="40"/>
  <c r="AP4" i="40"/>
  <c r="AI4" i="40"/>
  <c r="AH4" i="40"/>
  <c r="AG4" i="40"/>
  <c r="AA4" i="40"/>
  <c r="Z4" i="40"/>
  <c r="Y4" i="40"/>
  <c r="X4" i="40"/>
  <c r="W4" i="40"/>
  <c r="V4" i="40"/>
  <c r="P4" i="40"/>
  <c r="O4" i="40"/>
  <c r="I4" i="40"/>
  <c r="H4" i="40"/>
  <c r="G4" i="40"/>
  <c r="F4" i="40"/>
  <c r="E4" i="40"/>
  <c r="D4" i="40"/>
  <c r="AR3" i="40"/>
  <c r="AQ3" i="40"/>
  <c r="AP3" i="40"/>
  <c r="AI3" i="40"/>
  <c r="AH3" i="40"/>
  <c r="AG3" i="40"/>
  <c r="AA3" i="40"/>
  <c r="Z3" i="40"/>
  <c r="Y3" i="40"/>
  <c r="X3" i="40"/>
  <c r="W3" i="40"/>
  <c r="V3" i="40"/>
  <c r="P3" i="40"/>
  <c r="O3" i="40"/>
  <c r="I3" i="40"/>
  <c r="H3" i="40"/>
  <c r="G3" i="40"/>
  <c r="F3" i="40"/>
  <c r="E3" i="40"/>
  <c r="D3" i="40"/>
  <c r="AA21" i="39"/>
  <c r="Z21" i="39"/>
  <c r="G21" i="39"/>
  <c r="F21" i="39"/>
  <c r="E21" i="39"/>
  <c r="D21" i="39"/>
  <c r="AA20" i="39"/>
  <c r="Z20" i="39"/>
  <c r="G20" i="39"/>
  <c r="F20" i="39"/>
  <c r="E20" i="39"/>
  <c r="D20" i="39"/>
  <c r="AA19" i="39"/>
  <c r="Z19" i="39"/>
  <c r="G19" i="39"/>
  <c r="F19" i="39"/>
  <c r="E19" i="39"/>
  <c r="D19" i="39"/>
  <c r="AA18" i="39"/>
  <c r="Z18" i="39"/>
  <c r="G18" i="39"/>
  <c r="F18" i="39"/>
  <c r="E18" i="39"/>
  <c r="D18" i="39"/>
  <c r="AA17" i="39"/>
  <c r="Z17" i="39"/>
  <c r="G17" i="39"/>
  <c r="F17" i="39"/>
  <c r="E17" i="39"/>
  <c r="D17" i="39"/>
  <c r="AK16" i="39"/>
  <c r="AJ16" i="39"/>
  <c r="AI16" i="39"/>
  <c r="AB16" i="39"/>
  <c r="AA16" i="39"/>
  <c r="Z16" i="39"/>
  <c r="T16" i="39"/>
  <c r="S16" i="39"/>
  <c r="R16" i="39"/>
  <c r="Q16" i="39"/>
  <c r="P16" i="39"/>
  <c r="O16" i="39"/>
  <c r="I16" i="39"/>
  <c r="H16" i="39"/>
  <c r="G16" i="39"/>
  <c r="F16" i="39"/>
  <c r="E16" i="39"/>
  <c r="D16" i="39"/>
  <c r="AK15" i="39"/>
  <c r="AJ15" i="39"/>
  <c r="AI15" i="39"/>
  <c r="AB15" i="39"/>
  <c r="AA15" i="39"/>
  <c r="Z15" i="39"/>
  <c r="T15" i="39"/>
  <c r="S15" i="39"/>
  <c r="R15" i="39"/>
  <c r="Q15" i="39"/>
  <c r="P15" i="39"/>
  <c r="O15" i="39"/>
  <c r="I15" i="39"/>
  <c r="H15" i="39"/>
  <c r="G15" i="39"/>
  <c r="F15" i="39"/>
  <c r="E15" i="39"/>
  <c r="D15" i="39"/>
  <c r="AK14" i="39"/>
  <c r="AJ14" i="39"/>
  <c r="AI14" i="39"/>
  <c r="AB14" i="39"/>
  <c r="AA14" i="39"/>
  <c r="Z14" i="39"/>
  <c r="T14" i="39"/>
  <c r="S14" i="39"/>
  <c r="R14" i="39"/>
  <c r="Q14" i="39"/>
  <c r="P14" i="39"/>
  <c r="O14" i="39"/>
  <c r="I14" i="39"/>
  <c r="H14" i="39"/>
  <c r="G14" i="39"/>
  <c r="F14" i="39"/>
  <c r="E14" i="39"/>
  <c r="D14" i="39"/>
  <c r="AK13" i="39"/>
  <c r="AJ13" i="39"/>
  <c r="AI13" i="39"/>
  <c r="AB13" i="39"/>
  <c r="AA13" i="39"/>
  <c r="Z13" i="39"/>
  <c r="T13" i="39"/>
  <c r="S13" i="39"/>
  <c r="R13" i="39"/>
  <c r="Q13" i="39"/>
  <c r="P13" i="39"/>
  <c r="O13" i="39"/>
  <c r="I13" i="39"/>
  <c r="H13" i="39"/>
  <c r="G13" i="39"/>
  <c r="F13" i="39"/>
  <c r="E13" i="39"/>
  <c r="D13" i="39"/>
  <c r="AK12" i="39"/>
  <c r="AJ12" i="39"/>
  <c r="AI12" i="39"/>
  <c r="AB12" i="39"/>
  <c r="AA12" i="39"/>
  <c r="Z12" i="39"/>
  <c r="T12" i="39"/>
  <c r="S12" i="39"/>
  <c r="R12" i="39"/>
  <c r="Q12" i="39"/>
  <c r="P12" i="39"/>
  <c r="O12" i="39"/>
  <c r="I12" i="39"/>
  <c r="H12" i="39"/>
  <c r="G12" i="39"/>
  <c r="F12" i="39"/>
  <c r="E12" i="39"/>
  <c r="D12" i="39"/>
  <c r="AK11" i="39"/>
  <c r="AJ11" i="39"/>
  <c r="AI11" i="39"/>
  <c r="AB11" i="39"/>
  <c r="AA11" i="39"/>
  <c r="Z11" i="39"/>
  <c r="T11" i="39"/>
  <c r="S11" i="39"/>
  <c r="R11" i="39"/>
  <c r="Q11" i="39"/>
  <c r="P11" i="39"/>
  <c r="O11" i="39"/>
  <c r="I11" i="39"/>
  <c r="H11" i="39"/>
  <c r="G11" i="39"/>
  <c r="F11" i="39"/>
  <c r="E11" i="39"/>
  <c r="D11" i="39"/>
  <c r="AK10" i="39"/>
  <c r="AJ10" i="39"/>
  <c r="AI10" i="39"/>
  <c r="AB10" i="39"/>
  <c r="AA10" i="39"/>
  <c r="Z10" i="39"/>
  <c r="T10" i="39"/>
  <c r="S10" i="39"/>
  <c r="R10" i="39"/>
  <c r="Q10" i="39"/>
  <c r="P10" i="39"/>
  <c r="O10" i="39"/>
  <c r="I10" i="39"/>
  <c r="H10" i="39"/>
  <c r="G10" i="39"/>
  <c r="F10" i="39"/>
  <c r="E10" i="39"/>
  <c r="D10" i="39"/>
  <c r="AA9" i="39"/>
  <c r="Z9" i="39"/>
  <c r="G9" i="39"/>
  <c r="F9" i="39"/>
  <c r="E9" i="39"/>
  <c r="D9" i="39"/>
  <c r="AK8" i="39"/>
  <c r="AI8" i="39"/>
  <c r="AB8" i="39"/>
  <c r="AA8" i="39"/>
  <c r="Z8" i="39"/>
  <c r="T8" i="39"/>
  <c r="S8" i="39"/>
  <c r="P8" i="39"/>
  <c r="I8" i="39"/>
  <c r="H8" i="39"/>
  <c r="G8" i="39"/>
  <c r="F8" i="39"/>
  <c r="E8" i="39"/>
  <c r="D8" i="39"/>
  <c r="AA7" i="39"/>
  <c r="Z7" i="39"/>
  <c r="G7" i="39"/>
  <c r="F7" i="39"/>
  <c r="E7" i="39"/>
  <c r="D7" i="39"/>
  <c r="AA6" i="39"/>
  <c r="Z6" i="39"/>
  <c r="G6" i="39"/>
  <c r="F6" i="39"/>
  <c r="E6" i="39"/>
  <c r="D6" i="39"/>
  <c r="AA5" i="39"/>
  <c r="Z5" i="39"/>
  <c r="G5" i="39"/>
  <c r="F5" i="39"/>
  <c r="E5" i="39"/>
  <c r="D5" i="39"/>
  <c r="AJ4" i="39"/>
  <c r="AA4" i="39"/>
  <c r="Z4" i="39"/>
  <c r="G4" i="39"/>
  <c r="F4" i="39"/>
  <c r="E4" i="39"/>
  <c r="D4" i="39"/>
  <c r="AK3" i="39"/>
  <c r="AJ3" i="39"/>
  <c r="AI3" i="39"/>
  <c r="AB3" i="39"/>
  <c r="AA3" i="39"/>
  <c r="Z3" i="39"/>
  <c r="T3" i="39"/>
  <c r="S3" i="39"/>
  <c r="R3" i="39"/>
  <c r="Q3" i="39"/>
  <c r="P3" i="39"/>
  <c r="O3" i="39"/>
  <c r="I3" i="39"/>
  <c r="H3" i="39"/>
  <c r="G3" i="39"/>
  <c r="F3" i="39"/>
  <c r="E3" i="39"/>
  <c r="D3" i="39"/>
  <c r="AA20" i="38"/>
  <c r="Z20" i="38"/>
  <c r="G20" i="38"/>
  <c r="F20" i="38"/>
  <c r="E20" i="38"/>
  <c r="D20" i="38"/>
  <c r="AA19" i="38"/>
  <c r="Z19" i="38"/>
  <c r="G19" i="38"/>
  <c r="F19" i="38"/>
  <c r="E19" i="38"/>
  <c r="D19" i="38"/>
  <c r="AJ18" i="38"/>
  <c r="AI18" i="38"/>
  <c r="AB18" i="38"/>
  <c r="AA18" i="38"/>
  <c r="Z18" i="38"/>
  <c r="R18" i="38"/>
  <c r="Q18" i="38"/>
  <c r="P18" i="38"/>
  <c r="O18" i="38"/>
  <c r="I18" i="38"/>
  <c r="G18" i="38"/>
  <c r="F18" i="38"/>
  <c r="E18" i="38"/>
  <c r="D18" i="38"/>
  <c r="AA17" i="38"/>
  <c r="Z17" i="38"/>
  <c r="G17" i="38"/>
  <c r="F17" i="38"/>
  <c r="E17" i="38"/>
  <c r="D17" i="38"/>
  <c r="AK16" i="38"/>
  <c r="AJ16" i="38"/>
  <c r="AI16" i="38"/>
  <c r="AB16" i="38"/>
  <c r="AA16" i="38"/>
  <c r="Z16" i="38"/>
  <c r="T16" i="38"/>
  <c r="S16" i="38"/>
  <c r="R16" i="38"/>
  <c r="Q16" i="38"/>
  <c r="P16" i="38"/>
  <c r="O16" i="38"/>
  <c r="I16" i="38"/>
  <c r="H16" i="38"/>
  <c r="G16" i="38"/>
  <c r="F16" i="38"/>
  <c r="E16" i="38"/>
  <c r="D16" i="38"/>
  <c r="AK15" i="38"/>
  <c r="AJ15" i="38"/>
  <c r="AI15" i="38"/>
  <c r="AB15" i="38"/>
  <c r="AA15" i="38"/>
  <c r="Z15" i="38"/>
  <c r="T15" i="38"/>
  <c r="S15" i="38"/>
  <c r="R15" i="38"/>
  <c r="Q15" i="38"/>
  <c r="P15" i="38"/>
  <c r="O15" i="38"/>
  <c r="I15" i="38"/>
  <c r="H15" i="38"/>
  <c r="G15" i="38"/>
  <c r="F15" i="38"/>
  <c r="E15" i="38"/>
  <c r="D15" i="38"/>
  <c r="AJ14" i="38"/>
  <c r="AI14" i="38"/>
  <c r="AA14" i="38"/>
  <c r="Z14" i="38"/>
  <c r="R14" i="38"/>
  <c r="Q14" i="38"/>
  <c r="P14" i="38"/>
  <c r="O14" i="38"/>
  <c r="G14" i="38"/>
  <c r="F14" i="38"/>
  <c r="E14" i="38"/>
  <c r="D14" i="38"/>
  <c r="AK13" i="38"/>
  <c r="AJ13" i="38"/>
  <c r="AI13" i="38"/>
  <c r="AB13" i="38"/>
  <c r="AA13" i="38"/>
  <c r="Z13" i="38"/>
  <c r="T13" i="38"/>
  <c r="S13" i="38"/>
  <c r="R13" i="38"/>
  <c r="Q13" i="38"/>
  <c r="P13" i="38"/>
  <c r="O13" i="38"/>
  <c r="I13" i="38"/>
  <c r="H13" i="38"/>
  <c r="G13" i="38"/>
  <c r="F13" i="38"/>
  <c r="E13" i="38"/>
  <c r="D13" i="38"/>
  <c r="AK12" i="38"/>
  <c r="AJ12" i="38"/>
  <c r="AI12" i="38"/>
  <c r="AB12" i="38"/>
  <c r="AA12" i="38"/>
  <c r="Z12" i="38"/>
  <c r="T12" i="38"/>
  <c r="S12" i="38"/>
  <c r="R12" i="38"/>
  <c r="Q12" i="38"/>
  <c r="P12" i="38"/>
  <c r="O12" i="38"/>
  <c r="I12" i="38"/>
  <c r="H12" i="38"/>
  <c r="G12" i="38"/>
  <c r="F12" i="38"/>
  <c r="E12" i="38"/>
  <c r="D12" i="38"/>
  <c r="AA11" i="38"/>
  <c r="Z11" i="38"/>
  <c r="R11" i="38"/>
  <c r="G11" i="38"/>
  <c r="F11" i="38"/>
  <c r="E11" i="38"/>
  <c r="D11" i="38"/>
  <c r="AK10" i="38"/>
  <c r="AJ10" i="38"/>
  <c r="AB10" i="38"/>
  <c r="AA10" i="38"/>
  <c r="Z10" i="38"/>
  <c r="T10" i="38"/>
  <c r="S10" i="38"/>
  <c r="I10" i="38"/>
  <c r="H10" i="38"/>
  <c r="G10" i="38"/>
  <c r="F10" i="38"/>
  <c r="E10" i="38"/>
  <c r="D10" i="38"/>
  <c r="AA9" i="38"/>
  <c r="Z9" i="38"/>
  <c r="G9" i="38"/>
  <c r="F9" i="38"/>
  <c r="E9" i="38"/>
  <c r="D9" i="38"/>
  <c r="AJ8" i="38"/>
  <c r="AI8" i="38"/>
  <c r="AA8" i="38"/>
  <c r="Z8" i="38"/>
  <c r="R8" i="38"/>
  <c r="Q8" i="38"/>
  <c r="P8" i="38"/>
  <c r="O8" i="38"/>
  <c r="G8" i="38"/>
  <c r="F8" i="38"/>
  <c r="E8" i="38"/>
  <c r="D8" i="38"/>
  <c r="AA7" i="38"/>
  <c r="Z7" i="38"/>
  <c r="G7" i="38"/>
  <c r="F7" i="38"/>
  <c r="E7" i="38"/>
  <c r="D7" i="38"/>
  <c r="AA6" i="38"/>
  <c r="Z6" i="38"/>
  <c r="G6" i="38"/>
  <c r="F6" i="38"/>
  <c r="E6" i="38"/>
  <c r="D6" i="38"/>
  <c r="AK5" i="38"/>
  <c r="AJ5" i="38"/>
  <c r="AI5" i="38"/>
  <c r="AB5" i="38"/>
  <c r="AA5" i="38"/>
  <c r="Z5" i="38"/>
  <c r="T5" i="38"/>
  <c r="S5" i="38"/>
  <c r="R5" i="38"/>
  <c r="Q5" i="38"/>
  <c r="P5" i="38"/>
  <c r="O5" i="38"/>
  <c r="I5" i="38"/>
  <c r="H5" i="38"/>
  <c r="G5" i="38"/>
  <c r="F5" i="38"/>
  <c r="E5" i="38"/>
  <c r="D5" i="38"/>
  <c r="AJ4" i="38"/>
  <c r="AI4" i="38"/>
  <c r="AA4" i="38"/>
  <c r="Z4" i="38"/>
  <c r="R4" i="38"/>
  <c r="Q4" i="38"/>
  <c r="P4" i="38"/>
  <c r="O4" i="38"/>
  <c r="G4" i="38"/>
  <c r="F4" i="38"/>
  <c r="E4" i="38"/>
  <c r="D4" i="38"/>
  <c r="AJ3" i="38"/>
  <c r="AI3" i="38"/>
  <c r="AA3" i="38"/>
  <c r="Z3" i="38"/>
  <c r="R3" i="38"/>
  <c r="Q3" i="38"/>
  <c r="P3" i="38"/>
  <c r="O3" i="38"/>
  <c r="G3" i="38"/>
  <c r="F3" i="38"/>
  <c r="E3" i="38"/>
  <c r="D3" i="38"/>
  <c r="AP7" i="37"/>
  <c r="AH5" i="37"/>
  <c r="AG5" i="37"/>
  <c r="Y5" i="37"/>
  <c r="V7" i="37"/>
  <c r="W4" i="37"/>
  <c r="W7" i="37"/>
  <c r="P5" i="37"/>
  <c r="O5" i="37"/>
  <c r="O7" i="37"/>
  <c r="G5" i="37"/>
  <c r="F5" i="37"/>
  <c r="E5" i="37"/>
  <c r="D5" i="37"/>
  <c r="D7" i="37"/>
  <c r="AH14" i="13"/>
  <c r="AL14" i="13" s="1"/>
  <c r="AH21" i="13"/>
  <c r="AL21" i="13" s="1"/>
  <c r="AM21" i="13" s="1"/>
  <c r="AH11" i="37" s="1"/>
  <c r="AH4" i="13"/>
  <c r="AL4" i="13" s="1"/>
  <c r="AH9" i="13"/>
  <c r="AI9" i="13" s="1"/>
  <c r="AH28" i="13"/>
  <c r="AH10" i="13"/>
  <c r="AH27" i="13"/>
  <c r="AH3" i="13"/>
  <c r="AH16" i="13"/>
  <c r="AH17" i="13"/>
  <c r="AH29" i="13"/>
  <c r="AI29" i="13" s="1"/>
  <c r="AH18" i="13"/>
  <c r="AH23" i="13"/>
  <c r="AL23" i="13" s="1"/>
  <c r="AM23" i="13" s="1"/>
  <c r="AH6" i="37" s="1"/>
  <c r="AH30" i="13"/>
  <c r="AL30" i="13" s="1"/>
  <c r="AM30" i="13" s="1"/>
  <c r="AH14" i="37" s="1"/>
  <c r="AH25" i="13"/>
  <c r="AI25" i="13" s="1"/>
  <c r="AH13" i="13"/>
  <c r="AL13" i="13" s="1"/>
  <c r="AH15" i="13"/>
  <c r="AH20" i="13"/>
  <c r="AH8" i="13"/>
  <c r="AH7" i="13"/>
  <c r="AH24" i="13"/>
  <c r="AI24" i="13" s="1"/>
  <c r="AH26" i="13"/>
  <c r="AI26" i="13" s="1"/>
  <c r="AH11" i="13"/>
  <c r="AI11" i="13" s="1"/>
  <c r="AH19" i="13"/>
  <c r="AI28" i="13"/>
  <c r="AI10" i="13"/>
  <c r="AI27" i="13"/>
  <c r="AI23" i="13"/>
  <c r="AJ14" i="13"/>
  <c r="AJ21" i="13"/>
  <c r="AJ4" i="13"/>
  <c r="AJ9" i="13"/>
  <c r="AJ28" i="13"/>
  <c r="AK28" i="13" s="1"/>
  <c r="AJ10" i="13"/>
  <c r="AL10" i="13" s="1"/>
  <c r="AM10" i="13" s="1"/>
  <c r="AJ27" i="13"/>
  <c r="AL27" i="13" s="1"/>
  <c r="AM27" i="13" s="1"/>
  <c r="AJ3" i="13"/>
  <c r="AJ16" i="13"/>
  <c r="AL16" i="13" s="1"/>
  <c r="AJ17" i="13"/>
  <c r="AJ29" i="13"/>
  <c r="AK29" i="13" s="1"/>
  <c r="AJ18" i="13"/>
  <c r="AJ23" i="13"/>
  <c r="AJ30" i="13"/>
  <c r="AJ25" i="13"/>
  <c r="AJ13" i="13"/>
  <c r="AJ15" i="13"/>
  <c r="AJ20" i="13"/>
  <c r="AJ8" i="13"/>
  <c r="AL8" i="13" s="1"/>
  <c r="AJ7" i="13"/>
  <c r="AJ24" i="13"/>
  <c r="AL24" i="13" s="1"/>
  <c r="AM24" i="13" s="1"/>
  <c r="AJ26" i="13"/>
  <c r="AJ11" i="13"/>
  <c r="AJ19" i="13"/>
  <c r="AK21" i="13"/>
  <c r="G11" i="37" s="1"/>
  <c r="AK30" i="13"/>
  <c r="G14" i="37" s="1"/>
  <c r="AH8" i="12"/>
  <c r="AI8" i="12" s="1"/>
  <c r="D13" i="37" s="1"/>
  <c r="AH9" i="12"/>
  <c r="AH10" i="12"/>
  <c r="AH11" i="12"/>
  <c r="AH12" i="12"/>
  <c r="AH13" i="12"/>
  <c r="AI13" i="12" s="1"/>
  <c r="AH14" i="12"/>
  <c r="AI14" i="12" s="1"/>
  <c r="D3" i="37" s="1"/>
  <c r="AH15" i="12"/>
  <c r="AI15" i="12" s="1"/>
  <c r="AH16" i="12"/>
  <c r="AI16" i="12" s="1"/>
  <c r="AH17" i="12"/>
  <c r="AH18" i="12"/>
  <c r="AH19" i="12"/>
  <c r="AH20" i="12"/>
  <c r="AI20" i="12" s="1"/>
  <c r="AH21" i="12"/>
  <c r="AH22" i="12"/>
  <c r="AH23" i="12"/>
  <c r="AH24" i="12"/>
  <c r="AH25" i="12"/>
  <c r="AH26" i="12"/>
  <c r="AH27" i="12"/>
  <c r="AI27" i="12" s="1"/>
  <c r="AH28" i="12"/>
  <c r="AH29" i="12"/>
  <c r="AI29" i="12" s="1"/>
  <c r="D15" i="37" s="1"/>
  <c r="AH30" i="12"/>
  <c r="AI30" i="12" s="1"/>
  <c r="AH3" i="12"/>
  <c r="AI3" i="12" s="1"/>
  <c r="AJ8" i="12"/>
  <c r="AK8" i="12" s="1"/>
  <c r="E13" i="37" s="1"/>
  <c r="AJ9" i="12"/>
  <c r="AJ10" i="12"/>
  <c r="AJ11" i="12"/>
  <c r="AJ12" i="12"/>
  <c r="AJ13" i="12"/>
  <c r="AJ14" i="12"/>
  <c r="AJ15" i="12"/>
  <c r="AJ16" i="12"/>
  <c r="AJ17" i="12"/>
  <c r="AJ18" i="12"/>
  <c r="AJ19" i="12"/>
  <c r="AL19" i="12" s="1"/>
  <c r="AJ20" i="12"/>
  <c r="AJ21" i="12"/>
  <c r="AJ22" i="12"/>
  <c r="AJ23" i="12"/>
  <c r="AJ24" i="12"/>
  <c r="AJ25" i="12"/>
  <c r="AJ26" i="12"/>
  <c r="AJ27" i="12"/>
  <c r="AJ28" i="12"/>
  <c r="AJ29" i="12"/>
  <c r="AJ30" i="12"/>
  <c r="AJ3" i="12"/>
  <c r="AK3" i="12" s="1"/>
  <c r="AK20" i="12"/>
  <c r="AK21" i="12"/>
  <c r="AL18" i="12"/>
  <c r="AR3" i="36"/>
  <c r="AQ3" i="36"/>
  <c r="AP3" i="36"/>
  <c r="AI3" i="36"/>
  <c r="AH3" i="36"/>
  <c r="AH4" i="36"/>
  <c r="AH5" i="36"/>
  <c r="AH6" i="36"/>
  <c r="AH7" i="36"/>
  <c r="AH8" i="36"/>
  <c r="AH9" i="36"/>
  <c r="AH10" i="36"/>
  <c r="AH11" i="36"/>
  <c r="AH12" i="36"/>
  <c r="AG3" i="36"/>
  <c r="AG4" i="36"/>
  <c r="AG5" i="36"/>
  <c r="AG6" i="36"/>
  <c r="AG7" i="36"/>
  <c r="AG8" i="36"/>
  <c r="AG9" i="36"/>
  <c r="AG10" i="36"/>
  <c r="AG11" i="36"/>
  <c r="AG12" i="36"/>
  <c r="AA3" i="36"/>
  <c r="Z3" i="36"/>
  <c r="Y3" i="36"/>
  <c r="Y8" i="36"/>
  <c r="Y10" i="36"/>
  <c r="X3" i="36"/>
  <c r="W3" i="36"/>
  <c r="V3" i="36"/>
  <c r="P3" i="36"/>
  <c r="O3" i="36"/>
  <c r="I3" i="36"/>
  <c r="H3" i="36"/>
  <c r="G3" i="36"/>
  <c r="G4" i="36"/>
  <c r="G5" i="36"/>
  <c r="G6" i="36"/>
  <c r="G7" i="36"/>
  <c r="G8" i="36"/>
  <c r="G9" i="36"/>
  <c r="G10" i="36"/>
  <c r="G11" i="36"/>
  <c r="G12" i="36"/>
  <c r="F3" i="36"/>
  <c r="F4" i="36"/>
  <c r="F5" i="36"/>
  <c r="F6" i="36"/>
  <c r="F7" i="36"/>
  <c r="F8" i="36"/>
  <c r="F9" i="36"/>
  <c r="F10" i="36"/>
  <c r="F11" i="36"/>
  <c r="F12" i="36"/>
  <c r="AH7" i="14"/>
  <c r="AH8" i="14"/>
  <c r="AH9" i="14"/>
  <c r="AH10" i="14"/>
  <c r="AH11" i="14"/>
  <c r="AH12" i="14"/>
  <c r="AH13" i="14"/>
  <c r="AH14" i="14"/>
  <c r="AH15" i="14"/>
  <c r="AH16" i="14"/>
  <c r="AI16" i="14" s="1"/>
  <c r="AH17" i="14"/>
  <c r="AI17" i="14" s="1"/>
  <c r="AH18" i="14"/>
  <c r="AI18" i="14" s="1"/>
  <c r="AH19" i="14"/>
  <c r="AH20" i="14"/>
  <c r="AH21" i="14"/>
  <c r="AH22" i="14"/>
  <c r="AH23" i="14"/>
  <c r="AH24" i="14"/>
  <c r="AH25" i="14"/>
  <c r="AH26" i="14"/>
  <c r="AH27" i="14"/>
  <c r="AH28" i="14"/>
  <c r="AH29" i="14"/>
  <c r="AI29" i="14" s="1"/>
  <c r="AH30" i="14"/>
  <c r="AH31" i="14"/>
  <c r="AH32" i="14"/>
  <c r="AH33" i="14"/>
  <c r="AI8" i="14"/>
  <c r="AI13" i="14"/>
  <c r="AI27" i="14"/>
  <c r="AI33" i="14"/>
  <c r="AJ7" i="14"/>
  <c r="AL7" i="14" s="1"/>
  <c r="AJ8" i="14"/>
  <c r="AL8" i="14" s="1"/>
  <c r="AM8" i="14" s="1"/>
  <c r="AJ9" i="14"/>
  <c r="AL9" i="14" s="1"/>
  <c r="AJ10" i="14"/>
  <c r="AJ11" i="14"/>
  <c r="AL11" i="14" s="1"/>
  <c r="AJ12" i="14"/>
  <c r="AL12" i="14" s="1"/>
  <c r="AJ13" i="14"/>
  <c r="AJ14" i="14"/>
  <c r="AJ15" i="14"/>
  <c r="AJ16" i="14"/>
  <c r="AJ17" i="14"/>
  <c r="AJ18" i="14"/>
  <c r="AJ19" i="14"/>
  <c r="AL19" i="14" s="1"/>
  <c r="AJ20" i="14"/>
  <c r="AL20" i="14" s="1"/>
  <c r="AJ21" i="14"/>
  <c r="AL21" i="14" s="1"/>
  <c r="AJ22" i="14"/>
  <c r="AJ23" i="14"/>
  <c r="AL23" i="14" s="1"/>
  <c r="AJ24" i="14"/>
  <c r="AL24" i="14" s="1"/>
  <c r="AJ25" i="14"/>
  <c r="AJ26" i="14"/>
  <c r="AJ27" i="14"/>
  <c r="AJ28" i="14"/>
  <c r="AJ29" i="14"/>
  <c r="AJ30" i="14"/>
  <c r="AJ31" i="14"/>
  <c r="AL31" i="14" s="1"/>
  <c r="AJ32" i="14"/>
  <c r="AL32" i="14" s="1"/>
  <c r="AJ33" i="14"/>
  <c r="AL33" i="14" s="1"/>
  <c r="AM33" i="14" s="1"/>
  <c r="AK27" i="14"/>
  <c r="AK29" i="14"/>
  <c r="AK33" i="14"/>
  <c r="AL13" i="14"/>
  <c r="AL14" i="14"/>
  <c r="AL15" i="14"/>
  <c r="AL16" i="14"/>
  <c r="AM16" i="14" s="1"/>
  <c r="AL17" i="14"/>
  <c r="AM17" i="14" s="1"/>
  <c r="AL25" i="14"/>
  <c r="AL26" i="14"/>
  <c r="AL27" i="14"/>
  <c r="AL28" i="14"/>
  <c r="AL29" i="14"/>
  <c r="AM29" i="14" s="1"/>
  <c r="AL30" i="14"/>
  <c r="AM13" i="14"/>
  <c r="AM27" i="14"/>
  <c r="AH7" i="11"/>
  <c r="AH8" i="11"/>
  <c r="AH9" i="11"/>
  <c r="AH10" i="11"/>
  <c r="AH11" i="11"/>
  <c r="AH12" i="11"/>
  <c r="AH13" i="11"/>
  <c r="AH14" i="11"/>
  <c r="AH15" i="11"/>
  <c r="AH16" i="11"/>
  <c r="AH17" i="11"/>
  <c r="AH18" i="11"/>
  <c r="AH19" i="11"/>
  <c r="AH20" i="11"/>
  <c r="AH21" i="11"/>
  <c r="AH22" i="11"/>
  <c r="AL22" i="11" s="1"/>
  <c r="AH23" i="11"/>
  <c r="AH24" i="11"/>
  <c r="AH25" i="11"/>
  <c r="AH26" i="11"/>
  <c r="AH27" i="11"/>
  <c r="AL27" i="11" s="1"/>
  <c r="AM27" i="11" s="1"/>
  <c r="AH28" i="11"/>
  <c r="AH29" i="11"/>
  <c r="AI29" i="11" s="1"/>
  <c r="D8" i="36" s="1"/>
  <c r="AH30" i="11"/>
  <c r="AH31" i="11"/>
  <c r="AH32" i="11"/>
  <c r="AH33" i="11"/>
  <c r="AI9" i="11"/>
  <c r="AI15" i="11"/>
  <c r="AI21" i="11"/>
  <c r="AI27" i="11"/>
  <c r="D5" i="36" s="1"/>
  <c r="AI33" i="11"/>
  <c r="D12" i="36" s="1"/>
  <c r="AJ7" i="11"/>
  <c r="AL7" i="11" s="1"/>
  <c r="AJ8" i="11"/>
  <c r="AL8" i="11" s="1"/>
  <c r="AJ9" i="11"/>
  <c r="AL9" i="11" s="1"/>
  <c r="AM9" i="11" s="1"/>
  <c r="AJ10" i="11"/>
  <c r="AJ11" i="11"/>
  <c r="AJ12" i="11"/>
  <c r="AJ13" i="11"/>
  <c r="AJ14" i="11"/>
  <c r="AJ15" i="11"/>
  <c r="AJ16" i="11"/>
  <c r="AJ17" i="11"/>
  <c r="AJ18" i="11"/>
  <c r="AJ19" i="11"/>
  <c r="AL19" i="11" s="1"/>
  <c r="AJ20" i="11"/>
  <c r="AL20" i="11" s="1"/>
  <c r="AJ21" i="11"/>
  <c r="AL21" i="11" s="1"/>
  <c r="AM21" i="11" s="1"/>
  <c r="AJ22" i="11"/>
  <c r="AJ23" i="11"/>
  <c r="AL23" i="11" s="1"/>
  <c r="AJ24" i="11"/>
  <c r="AJ25" i="11"/>
  <c r="AJ26" i="11"/>
  <c r="AJ27" i="11"/>
  <c r="AJ28" i="11"/>
  <c r="AJ29" i="11"/>
  <c r="AJ30" i="11"/>
  <c r="AJ31" i="11"/>
  <c r="AL31" i="11" s="1"/>
  <c r="AJ32" i="11"/>
  <c r="AL32" i="11" s="1"/>
  <c r="AJ33" i="11"/>
  <c r="AL33" i="11" s="1"/>
  <c r="AM33" i="11" s="1"/>
  <c r="AK9" i="11"/>
  <c r="AK13" i="11"/>
  <c r="AK25" i="11"/>
  <c r="E9" i="36" s="1"/>
  <c r="AK33" i="11"/>
  <c r="E12" i="36" s="1"/>
  <c r="AL13" i="11"/>
  <c r="AL14" i="11"/>
  <c r="AL15" i="11"/>
  <c r="AL16" i="11"/>
  <c r="AL17" i="11"/>
  <c r="AL18" i="11"/>
  <c r="AL25" i="11"/>
  <c r="AL26" i="11"/>
  <c r="AL28" i="11"/>
  <c r="AL29" i="11"/>
  <c r="AM29" i="11" s="1"/>
  <c r="AL30" i="11"/>
  <c r="AM13" i="11"/>
  <c r="AM15" i="11"/>
  <c r="AM25" i="11"/>
  <c r="E3" i="36"/>
  <c r="D3" i="36"/>
  <c r="AR3" i="35"/>
  <c r="AR5" i="35"/>
  <c r="AR7" i="35"/>
  <c r="AR10" i="35"/>
  <c r="AR11" i="35"/>
  <c r="AR13" i="35"/>
  <c r="AR15" i="35"/>
  <c r="AR16" i="35"/>
  <c r="AR17" i="35"/>
  <c r="AR20" i="35"/>
  <c r="AR21" i="35"/>
  <c r="AQ3" i="35"/>
  <c r="AQ5" i="35"/>
  <c r="AQ7" i="35"/>
  <c r="AQ11" i="35"/>
  <c r="AQ13" i="35"/>
  <c r="AQ15" i="35"/>
  <c r="AQ17" i="35"/>
  <c r="AQ19" i="35"/>
  <c r="AQ21" i="35"/>
  <c r="AP3" i="35"/>
  <c r="AP4" i="35"/>
  <c r="AP5" i="35"/>
  <c r="AP7" i="35"/>
  <c r="AP11" i="35"/>
  <c r="AP13" i="35"/>
  <c r="AP15" i="35"/>
  <c r="AP17" i="35"/>
  <c r="AP18" i="35"/>
  <c r="AP19" i="35"/>
  <c r="AP21" i="35"/>
  <c r="AI3" i="35"/>
  <c r="AI5" i="35"/>
  <c r="AI7" i="35"/>
  <c r="AI10" i="35"/>
  <c r="AI11" i="35"/>
  <c r="AI13" i="35"/>
  <c r="AI15" i="35"/>
  <c r="AI16" i="35"/>
  <c r="AI17" i="35"/>
  <c r="AI20" i="35"/>
  <c r="AI21" i="35"/>
  <c r="AH3" i="35"/>
  <c r="AH4" i="35"/>
  <c r="AH5" i="35"/>
  <c r="AH6" i="35"/>
  <c r="AH7" i="35"/>
  <c r="AH8" i="35"/>
  <c r="AH9" i="35"/>
  <c r="AH10" i="35"/>
  <c r="AH11" i="35"/>
  <c r="AH12" i="35"/>
  <c r="AH13" i="35"/>
  <c r="AH14" i="35"/>
  <c r="AH15" i="35"/>
  <c r="AH16" i="35"/>
  <c r="AH17" i="35"/>
  <c r="AH18" i="35"/>
  <c r="AH19" i="35"/>
  <c r="AH20" i="35"/>
  <c r="AH21" i="35"/>
  <c r="AG3" i="35"/>
  <c r="AG4" i="35"/>
  <c r="AG5" i="35"/>
  <c r="AG6" i="35"/>
  <c r="AG7" i="35"/>
  <c r="AG8" i="35"/>
  <c r="AG9" i="35"/>
  <c r="AG10" i="35"/>
  <c r="AG11" i="35"/>
  <c r="AG12" i="35"/>
  <c r="AG13" i="35"/>
  <c r="AG14" i="35"/>
  <c r="AG15" i="35"/>
  <c r="AG16" i="35"/>
  <c r="AG17" i="35"/>
  <c r="AG18" i="35"/>
  <c r="AG19" i="35"/>
  <c r="AG20" i="35"/>
  <c r="AG21" i="35"/>
  <c r="AA3" i="35"/>
  <c r="AA5" i="35"/>
  <c r="AA7" i="35"/>
  <c r="AA10" i="35"/>
  <c r="AA11" i="35"/>
  <c r="AA13" i="35"/>
  <c r="AA15" i="35"/>
  <c r="AA16" i="35"/>
  <c r="AA17" i="35"/>
  <c r="AA20" i="35"/>
  <c r="AA21" i="35"/>
  <c r="Z3" i="35"/>
  <c r="Z5" i="35"/>
  <c r="Z7" i="35"/>
  <c r="Z10" i="35"/>
  <c r="Z11" i="35"/>
  <c r="Z13" i="35"/>
  <c r="Z15" i="35"/>
  <c r="Z16" i="35"/>
  <c r="Z17" i="35"/>
  <c r="Z20" i="35"/>
  <c r="Z21" i="35"/>
  <c r="Y3" i="35"/>
  <c r="Y5" i="35"/>
  <c r="Y7" i="35"/>
  <c r="Y11" i="35"/>
  <c r="Y13" i="35"/>
  <c r="Y15" i="35"/>
  <c r="Y17" i="35"/>
  <c r="Y19" i="35"/>
  <c r="Y21" i="35"/>
  <c r="X3" i="35"/>
  <c r="X5" i="35"/>
  <c r="X7" i="35"/>
  <c r="X11" i="35"/>
  <c r="X13" i="35"/>
  <c r="X15" i="35"/>
  <c r="X17" i="35"/>
  <c r="X19" i="35"/>
  <c r="X21" i="35"/>
  <c r="W3" i="35"/>
  <c r="W5" i="35"/>
  <c r="W7" i="35"/>
  <c r="W9" i="35"/>
  <c r="W11" i="35"/>
  <c r="W13" i="35"/>
  <c r="W15" i="35"/>
  <c r="W17" i="35"/>
  <c r="W19" i="35"/>
  <c r="W21" i="35"/>
  <c r="V3" i="35"/>
  <c r="V5" i="35"/>
  <c r="V7" i="35"/>
  <c r="V11" i="35"/>
  <c r="V13" i="35"/>
  <c r="V15" i="35"/>
  <c r="V17" i="35"/>
  <c r="V19" i="35"/>
  <c r="V21" i="35"/>
  <c r="P3" i="35"/>
  <c r="P5" i="35"/>
  <c r="P7" i="35"/>
  <c r="P10" i="35"/>
  <c r="P11" i="35"/>
  <c r="P13" i="35"/>
  <c r="P15" i="35"/>
  <c r="P17" i="35"/>
  <c r="P19" i="35"/>
  <c r="P21" i="35"/>
  <c r="O3" i="35"/>
  <c r="O5" i="35"/>
  <c r="O7" i="35"/>
  <c r="O10" i="35"/>
  <c r="O11" i="35"/>
  <c r="O13" i="35"/>
  <c r="O15" i="35"/>
  <c r="O17" i="35"/>
  <c r="Q17" i="35" s="1" a="1"/>
  <c r="Q17" i="35" s="1"/>
  <c r="O19" i="35"/>
  <c r="O21" i="35"/>
  <c r="I3" i="35"/>
  <c r="I5" i="35"/>
  <c r="I7" i="35"/>
  <c r="I10" i="35"/>
  <c r="I11" i="35"/>
  <c r="I13" i="35"/>
  <c r="I15" i="35"/>
  <c r="I16" i="35"/>
  <c r="I17" i="35"/>
  <c r="I20" i="35"/>
  <c r="I21" i="35"/>
  <c r="H3" i="35"/>
  <c r="H5" i="35"/>
  <c r="H7" i="35"/>
  <c r="H10" i="35"/>
  <c r="H11" i="35"/>
  <c r="H13" i="35"/>
  <c r="H15" i="35"/>
  <c r="H16" i="35"/>
  <c r="H17" i="35"/>
  <c r="H20" i="35"/>
  <c r="H21" i="35"/>
  <c r="G3" i="35"/>
  <c r="G4" i="35"/>
  <c r="G5" i="35"/>
  <c r="G6" i="35"/>
  <c r="G7" i="35"/>
  <c r="G8" i="35"/>
  <c r="G9" i="35"/>
  <c r="G10" i="35"/>
  <c r="G11" i="35"/>
  <c r="G12" i="35"/>
  <c r="G13" i="35"/>
  <c r="G14" i="35"/>
  <c r="G15" i="35"/>
  <c r="G16" i="35"/>
  <c r="G17" i="35"/>
  <c r="G18" i="35"/>
  <c r="G19" i="35"/>
  <c r="G20" i="35"/>
  <c r="G21" i="35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E3" i="35"/>
  <c r="E4" i="35"/>
  <c r="E5" i="35"/>
  <c r="E6" i="35"/>
  <c r="E7" i="35"/>
  <c r="E8" i="35"/>
  <c r="E9" i="35"/>
  <c r="E10" i="35"/>
  <c r="E11" i="35"/>
  <c r="E12" i="35"/>
  <c r="E13" i="35"/>
  <c r="E14" i="35"/>
  <c r="E15" i="35"/>
  <c r="E16" i="35"/>
  <c r="E17" i="35"/>
  <c r="E18" i="35"/>
  <c r="E19" i="35"/>
  <c r="E20" i="35"/>
  <c r="E21" i="35"/>
  <c r="L6" i="13"/>
  <c r="L7" i="13"/>
  <c r="L8" i="13"/>
  <c r="L9" i="13"/>
  <c r="L10" i="13"/>
  <c r="L11" i="13"/>
  <c r="L12" i="13"/>
  <c r="P12" i="13" s="1"/>
  <c r="L13" i="13"/>
  <c r="L14" i="13"/>
  <c r="L15" i="13"/>
  <c r="L16" i="13"/>
  <c r="P16" i="13" s="1"/>
  <c r="L17" i="13"/>
  <c r="L18" i="13"/>
  <c r="L19" i="13"/>
  <c r="L20" i="13"/>
  <c r="L21" i="13"/>
  <c r="L22" i="13"/>
  <c r="M22" i="13" s="1"/>
  <c r="L23" i="13"/>
  <c r="L24" i="13"/>
  <c r="L25" i="13"/>
  <c r="L26" i="13"/>
  <c r="M26" i="13" s="1"/>
  <c r="L27" i="13"/>
  <c r="P27" i="13" s="1"/>
  <c r="Q27" i="13" s="1"/>
  <c r="L28" i="13"/>
  <c r="L29" i="13"/>
  <c r="P29" i="13" s="1"/>
  <c r="L30" i="13"/>
  <c r="L31" i="13"/>
  <c r="L32" i="13"/>
  <c r="L33" i="13"/>
  <c r="L34" i="13"/>
  <c r="L35" i="13"/>
  <c r="L36" i="13"/>
  <c r="P36" i="13" s="1"/>
  <c r="L37" i="13"/>
  <c r="L38" i="13"/>
  <c r="P38" i="13" s="1"/>
  <c r="L39" i="13"/>
  <c r="M39" i="13" s="1"/>
  <c r="L40" i="13"/>
  <c r="P40" i="13" s="1"/>
  <c r="L41" i="13"/>
  <c r="P41" i="13" s="1"/>
  <c r="L42" i="13"/>
  <c r="L43" i="13"/>
  <c r="L44" i="13"/>
  <c r="L45" i="13"/>
  <c r="L46" i="13"/>
  <c r="M46" i="13" s="1"/>
  <c r="L47" i="13"/>
  <c r="L48" i="13"/>
  <c r="L49" i="13"/>
  <c r="M7" i="13"/>
  <c r="M8" i="13"/>
  <c r="M20" i="13"/>
  <c r="M30" i="13"/>
  <c r="M32" i="13"/>
  <c r="M33" i="13"/>
  <c r="M42" i="13"/>
  <c r="M44" i="13"/>
  <c r="N6" i="13"/>
  <c r="N7" i="13"/>
  <c r="N8" i="13"/>
  <c r="N9" i="13"/>
  <c r="N10" i="13"/>
  <c r="N11" i="13"/>
  <c r="N12" i="13"/>
  <c r="N13" i="13"/>
  <c r="N14" i="13"/>
  <c r="N15" i="13"/>
  <c r="N16" i="13"/>
  <c r="N17" i="13"/>
  <c r="N18" i="13"/>
  <c r="N19" i="13"/>
  <c r="N20" i="13"/>
  <c r="N21" i="13"/>
  <c r="N22" i="13"/>
  <c r="N23" i="13"/>
  <c r="N24" i="13"/>
  <c r="N25" i="13"/>
  <c r="N26" i="13"/>
  <c r="N27" i="13"/>
  <c r="N28" i="13"/>
  <c r="N29" i="13"/>
  <c r="N30" i="13"/>
  <c r="N31" i="13"/>
  <c r="N32" i="13"/>
  <c r="N33" i="13"/>
  <c r="N34" i="13"/>
  <c r="N35" i="13"/>
  <c r="N36" i="13"/>
  <c r="N37" i="13"/>
  <c r="N38" i="13"/>
  <c r="N39" i="13"/>
  <c r="N40" i="13"/>
  <c r="N41" i="13"/>
  <c r="N42" i="13"/>
  <c r="O42" i="13" s="1"/>
  <c r="N43" i="13"/>
  <c r="O43" i="13" s="1"/>
  <c r="N44" i="13"/>
  <c r="O44" i="13" s="1"/>
  <c r="N45" i="13"/>
  <c r="O45" i="13" s="1"/>
  <c r="N46" i="13"/>
  <c r="O46" i="13" s="1"/>
  <c r="N47" i="13"/>
  <c r="O47" i="13" s="1"/>
  <c r="N48" i="13"/>
  <c r="O48" i="13" s="1"/>
  <c r="N49" i="13"/>
  <c r="O49" i="13" s="1"/>
  <c r="P6" i="13"/>
  <c r="P7" i="13"/>
  <c r="Q7" i="13" s="1"/>
  <c r="P8" i="13"/>
  <c r="Q8" i="13" s="1"/>
  <c r="P9" i="13"/>
  <c r="P18" i="13"/>
  <c r="P19" i="13"/>
  <c r="P20" i="13"/>
  <c r="Q20" i="13" s="1"/>
  <c r="P21" i="13"/>
  <c r="P30" i="13"/>
  <c r="Q30" i="13" s="1"/>
  <c r="P31" i="13"/>
  <c r="P32" i="13"/>
  <c r="Q32" i="13" s="1"/>
  <c r="P33" i="13"/>
  <c r="Q33" i="13" s="1"/>
  <c r="P42" i="13"/>
  <c r="Q42" i="13" s="1"/>
  <c r="P43" i="13"/>
  <c r="Q43" i="13" s="1"/>
  <c r="P44" i="13"/>
  <c r="Q44" i="13" s="1"/>
  <c r="P45" i="13"/>
  <c r="Q45" i="13" s="1"/>
  <c r="L4" i="12"/>
  <c r="M4" i="12" s="1"/>
  <c r="L27" i="12"/>
  <c r="P27" i="12" s="1"/>
  <c r="L28" i="12"/>
  <c r="P28" i="12" s="1"/>
  <c r="L29" i="12"/>
  <c r="P29" i="12" s="1"/>
  <c r="L30" i="12"/>
  <c r="L5" i="12"/>
  <c r="L31" i="12"/>
  <c r="L32" i="12"/>
  <c r="L6" i="12"/>
  <c r="L7" i="12"/>
  <c r="L33" i="12"/>
  <c r="L8" i="12"/>
  <c r="L34" i="12"/>
  <c r="L35" i="12"/>
  <c r="L36" i="12"/>
  <c r="M36" i="12" s="1"/>
  <c r="D3" i="35" s="1"/>
  <c r="L9" i="12"/>
  <c r="L10" i="12"/>
  <c r="L11" i="12"/>
  <c r="L12" i="12"/>
  <c r="L13" i="12"/>
  <c r="L37" i="12"/>
  <c r="M37" i="12" s="1"/>
  <c r="D9" i="35" s="1"/>
  <c r="L14" i="12"/>
  <c r="L15" i="12"/>
  <c r="L16" i="12"/>
  <c r="L17" i="12"/>
  <c r="M17" i="12" s="1"/>
  <c r="L18" i="12"/>
  <c r="M18" i="12" s="1"/>
  <c r="L38" i="12"/>
  <c r="P38" i="12" s="1"/>
  <c r="Q38" i="12" s="1"/>
  <c r="L39" i="12"/>
  <c r="P39" i="12" s="1"/>
  <c r="Q39" i="12" s="1"/>
  <c r="L40" i="12"/>
  <c r="M40" i="12" s="1"/>
  <c r="L41" i="12"/>
  <c r="L19" i="12"/>
  <c r="L42" i="12"/>
  <c r="L43" i="12"/>
  <c r="M43" i="12" s="1"/>
  <c r="L44" i="12"/>
  <c r="M44" i="12" s="1"/>
  <c r="L45" i="12"/>
  <c r="M45" i="12" s="1"/>
  <c r="L20" i="12"/>
  <c r="M20" i="12" s="1"/>
  <c r="L21" i="12"/>
  <c r="P21" i="12" s="1"/>
  <c r="Q21" i="12" s="1"/>
  <c r="L46" i="12"/>
  <c r="P46" i="12" s="1"/>
  <c r="Q46" i="12" s="1"/>
  <c r="L47" i="12"/>
  <c r="P47" i="12" s="1"/>
  <c r="Q47" i="12" s="1"/>
  <c r="L22" i="12"/>
  <c r="P22" i="12" s="1"/>
  <c r="Q22" i="12" s="1"/>
  <c r="L23" i="12"/>
  <c r="M23" i="12" s="1"/>
  <c r="L48" i="12"/>
  <c r="L24" i="12"/>
  <c r="L49" i="12"/>
  <c r="M49" i="12" s="1"/>
  <c r="N4" i="12"/>
  <c r="N27" i="12"/>
  <c r="N28" i="12"/>
  <c r="N29" i="12"/>
  <c r="N30" i="12"/>
  <c r="N5" i="12"/>
  <c r="N31" i="12"/>
  <c r="N32" i="12"/>
  <c r="N6" i="12"/>
  <c r="N7" i="12"/>
  <c r="N33" i="12"/>
  <c r="N8" i="12"/>
  <c r="N34" i="12"/>
  <c r="P34" i="12" s="1"/>
  <c r="N35" i="12"/>
  <c r="P35" i="12" s="1"/>
  <c r="N36" i="12"/>
  <c r="P36" i="12" s="1"/>
  <c r="Q36" i="12" s="1"/>
  <c r="N9" i="12"/>
  <c r="P9" i="12" s="1"/>
  <c r="N10" i="12"/>
  <c r="N11" i="12"/>
  <c r="N12" i="12"/>
  <c r="N13" i="12"/>
  <c r="N37" i="12"/>
  <c r="O37" i="12" s="1"/>
  <c r="N14" i="12"/>
  <c r="O14" i="12" s="1"/>
  <c r="N15" i="12"/>
  <c r="O15" i="12" s="1"/>
  <c r="N16" i="12"/>
  <c r="N17" i="12"/>
  <c r="O17" i="12" s="1"/>
  <c r="N18" i="12"/>
  <c r="O18" i="12" s="1"/>
  <c r="N38" i="12"/>
  <c r="O38" i="12" s="1"/>
  <c r="N39" i="12"/>
  <c r="O39" i="12" s="1"/>
  <c r="N40" i="12"/>
  <c r="N41" i="12"/>
  <c r="O41" i="12" s="1"/>
  <c r="N19" i="12"/>
  <c r="O19" i="12" s="1"/>
  <c r="N42" i="12"/>
  <c r="O42" i="12" s="1"/>
  <c r="N43" i="12"/>
  <c r="N44" i="12"/>
  <c r="N45" i="12"/>
  <c r="N20" i="12"/>
  <c r="O20" i="12" s="1"/>
  <c r="N21" i="12"/>
  <c r="O21" i="12" s="1"/>
  <c r="N46" i="12"/>
  <c r="O46" i="12" s="1"/>
  <c r="N47" i="12"/>
  <c r="O47" i="12" s="1"/>
  <c r="N22" i="12"/>
  <c r="O22" i="12" s="1"/>
  <c r="N23" i="12"/>
  <c r="N48" i="12"/>
  <c r="O48" i="12" s="1"/>
  <c r="N24" i="12"/>
  <c r="O24" i="12" s="1"/>
  <c r="N49" i="12"/>
  <c r="O49" i="12" s="1"/>
  <c r="O16" i="12"/>
  <c r="O43" i="12"/>
  <c r="O44" i="12"/>
  <c r="O45" i="12"/>
  <c r="P17" i="12"/>
  <c r="Q17" i="12" s="1"/>
  <c r="P18" i="12"/>
  <c r="Q18" i="12" s="1"/>
  <c r="D5" i="35"/>
  <c r="D7" i="35"/>
  <c r="D11" i="35"/>
  <c r="D13" i="35"/>
  <c r="D15" i="35"/>
  <c r="D17" i="35"/>
  <c r="D21" i="35"/>
  <c r="P12" i="36"/>
  <c r="O12" i="36"/>
  <c r="P6" i="36"/>
  <c r="O6" i="36"/>
  <c r="L6" i="14"/>
  <c r="L7" i="14"/>
  <c r="L8" i="14"/>
  <c r="L9" i="14"/>
  <c r="L10" i="14"/>
  <c r="P10" i="14" s="1"/>
  <c r="L11" i="14"/>
  <c r="P11" i="14" s="1"/>
  <c r="L12" i="14"/>
  <c r="P12" i="14" s="1"/>
  <c r="L13" i="14"/>
  <c r="L14" i="14"/>
  <c r="L15" i="14"/>
  <c r="L16" i="14"/>
  <c r="L17" i="14"/>
  <c r="L18" i="14"/>
  <c r="L19" i="14"/>
  <c r="L20" i="14"/>
  <c r="L21" i="14"/>
  <c r="L22" i="14"/>
  <c r="P22" i="14" s="1"/>
  <c r="L23" i="14"/>
  <c r="P23" i="14" s="1"/>
  <c r="L24" i="14"/>
  <c r="P24" i="14" s="1"/>
  <c r="Q24" i="14" s="1"/>
  <c r="L25" i="14"/>
  <c r="L26" i="14"/>
  <c r="L27" i="14"/>
  <c r="L28" i="14"/>
  <c r="L29" i="14"/>
  <c r="L30" i="14"/>
  <c r="L31" i="14"/>
  <c r="L32" i="14"/>
  <c r="L33" i="14"/>
  <c r="L34" i="14"/>
  <c r="P34" i="14" s="1"/>
  <c r="L35" i="14"/>
  <c r="P35" i="14" s="1"/>
  <c r="L36" i="14"/>
  <c r="P36" i="14" s="1"/>
  <c r="L37" i="14"/>
  <c r="L38" i="14"/>
  <c r="L39" i="14"/>
  <c r="L40" i="14"/>
  <c r="L41" i="14"/>
  <c r="L42" i="14"/>
  <c r="L43" i="14"/>
  <c r="L44" i="14"/>
  <c r="L45" i="14"/>
  <c r="L46" i="14"/>
  <c r="P46" i="14" s="1"/>
  <c r="Q46" i="14" s="1"/>
  <c r="L47" i="14"/>
  <c r="P47" i="14" s="1"/>
  <c r="Q47" i="14" s="1"/>
  <c r="L48" i="14"/>
  <c r="P48" i="14" s="1"/>
  <c r="L49" i="14"/>
  <c r="L50" i="14"/>
  <c r="L51" i="14"/>
  <c r="L52" i="14"/>
  <c r="L53" i="14"/>
  <c r="M53" i="14" s="1"/>
  <c r="F9" i="9" s="1"/>
  <c r="L54" i="14"/>
  <c r="L55" i="14"/>
  <c r="L56" i="14"/>
  <c r="L57" i="14"/>
  <c r="L58" i="14"/>
  <c r="P58" i="14" s="1"/>
  <c r="Q58" i="14" s="1"/>
  <c r="M45" i="14"/>
  <c r="F21" i="9" s="1"/>
  <c r="M46" i="14"/>
  <c r="F17" i="9" s="1"/>
  <c r="M47" i="14"/>
  <c r="M48" i="14"/>
  <c r="M54" i="14"/>
  <c r="M55" i="14"/>
  <c r="M56" i="14"/>
  <c r="M57" i="14"/>
  <c r="M58" i="14"/>
  <c r="N6" i="14"/>
  <c r="N7" i="14"/>
  <c r="N8" i="14"/>
  <c r="N9" i="14"/>
  <c r="N10" i="14"/>
  <c r="N11" i="14"/>
  <c r="N12" i="14"/>
  <c r="N13" i="14"/>
  <c r="N14" i="14"/>
  <c r="N15" i="14"/>
  <c r="N16" i="14"/>
  <c r="N17" i="14"/>
  <c r="N18" i="14"/>
  <c r="N19" i="14"/>
  <c r="N20" i="14"/>
  <c r="N21" i="14"/>
  <c r="N22" i="14"/>
  <c r="N23" i="14"/>
  <c r="N24" i="14"/>
  <c r="N25" i="14"/>
  <c r="N26" i="14"/>
  <c r="N27" i="14"/>
  <c r="O27" i="14" s="1"/>
  <c r="N28" i="14"/>
  <c r="N29" i="14"/>
  <c r="O29" i="14" s="1"/>
  <c r="N30" i="14"/>
  <c r="N31" i="14"/>
  <c r="N32" i="14"/>
  <c r="N33" i="14"/>
  <c r="N34" i="14"/>
  <c r="N35" i="14"/>
  <c r="N36" i="14"/>
  <c r="N37" i="14"/>
  <c r="N38" i="14"/>
  <c r="N39" i="14"/>
  <c r="N40" i="14"/>
  <c r="N41" i="14"/>
  <c r="N42" i="14"/>
  <c r="N43" i="14"/>
  <c r="N44" i="14"/>
  <c r="N45" i="14"/>
  <c r="N46" i="14"/>
  <c r="N47" i="14"/>
  <c r="N48" i="14"/>
  <c r="N49" i="14"/>
  <c r="N50" i="14"/>
  <c r="N51" i="14"/>
  <c r="N52" i="14"/>
  <c r="N53" i="14"/>
  <c r="O53" i="14" s="1"/>
  <c r="N54" i="14"/>
  <c r="N55" i="14"/>
  <c r="O55" i="14" s="1"/>
  <c r="N56" i="14"/>
  <c r="N57" i="14"/>
  <c r="N58" i="14"/>
  <c r="O8" i="14"/>
  <c r="O24" i="14"/>
  <c r="O37" i="14"/>
  <c r="O45" i="14"/>
  <c r="G21" i="9" s="1"/>
  <c r="O46" i="14"/>
  <c r="O47" i="14"/>
  <c r="O49" i="14"/>
  <c r="G18" i="9" s="1"/>
  <c r="P6" i="14"/>
  <c r="P7" i="14"/>
  <c r="P8" i="14"/>
  <c r="Q8" i="14" s="1"/>
  <c r="P9" i="14"/>
  <c r="P20" i="14"/>
  <c r="P21" i="14"/>
  <c r="P30" i="14"/>
  <c r="P31" i="14"/>
  <c r="P32" i="14"/>
  <c r="P33" i="14"/>
  <c r="P44" i="14"/>
  <c r="P45" i="14"/>
  <c r="Q45" i="14" s="1"/>
  <c r="P54" i="14"/>
  <c r="Q54" i="14" s="1"/>
  <c r="P55" i="14"/>
  <c r="Q55" i="14" s="1"/>
  <c r="P56" i="14"/>
  <c r="Q56" i="14" s="1"/>
  <c r="P57" i="14"/>
  <c r="Q57" i="14" s="1"/>
  <c r="AH22" i="9" s="1"/>
  <c r="Q48" i="14"/>
  <c r="AT4" i="9" a="1"/>
  <c r="AT4" i="9" s="1"/>
  <c r="BE23" i="9" s="1"/>
  <c r="AJ13" i="9" a="1"/>
  <c r="AJ13" i="9" s="1"/>
  <c r="BB22" i="9" s="1"/>
  <c r="AJ15" i="9" a="1"/>
  <c r="AJ15" i="9" s="1"/>
  <c r="BB21" i="9" s="1"/>
  <c r="AP13" i="9"/>
  <c r="AP15" i="9"/>
  <c r="AP18" i="9"/>
  <c r="AP20" i="9"/>
  <c r="AQ13" i="9"/>
  <c r="AQ15" i="9"/>
  <c r="AQ18" i="9"/>
  <c r="AQ20" i="9"/>
  <c r="AR13" i="9"/>
  <c r="AR15" i="9"/>
  <c r="AR17" i="9"/>
  <c r="AG13" i="9"/>
  <c r="AG15" i="9"/>
  <c r="AG17" i="9"/>
  <c r="AH13" i="9"/>
  <c r="AH15" i="9"/>
  <c r="AH19" i="9"/>
  <c r="AI11" i="9"/>
  <c r="AI13" i="9"/>
  <c r="AI15" i="9"/>
  <c r="AI17" i="9"/>
  <c r="AI18" i="9"/>
  <c r="V13" i="9"/>
  <c r="V15" i="9"/>
  <c r="V18" i="9"/>
  <c r="V20" i="9"/>
  <c r="W13" i="9"/>
  <c r="W15" i="9"/>
  <c r="W18" i="9"/>
  <c r="W20" i="9"/>
  <c r="X13" i="9"/>
  <c r="X15" i="9"/>
  <c r="X18" i="9"/>
  <c r="X20" i="9"/>
  <c r="Y13" i="9"/>
  <c r="Y15" i="9"/>
  <c r="Y16" i="9"/>
  <c r="Y17" i="9"/>
  <c r="Y18" i="9"/>
  <c r="Y20" i="9"/>
  <c r="Z13" i="9"/>
  <c r="Z15" i="9"/>
  <c r="Z17" i="9"/>
  <c r="AA13" i="9"/>
  <c r="AA15" i="9"/>
  <c r="AA17" i="9"/>
  <c r="O13" i="9"/>
  <c r="O15" i="9"/>
  <c r="O17" i="9"/>
  <c r="O18" i="9"/>
  <c r="O19" i="9"/>
  <c r="O20" i="9"/>
  <c r="P13" i="9"/>
  <c r="P15" i="9"/>
  <c r="P17" i="9"/>
  <c r="P19" i="9"/>
  <c r="P20" i="9"/>
  <c r="D22" i="9"/>
  <c r="D23" i="9"/>
  <c r="E22" i="9"/>
  <c r="E23" i="9"/>
  <c r="F22" i="9"/>
  <c r="F23" i="9"/>
  <c r="F12" i="9"/>
  <c r="G22" i="9"/>
  <c r="J22" i="9" s="1" a="1"/>
  <c r="J22" i="9" s="1"/>
  <c r="AY22" i="9" s="1"/>
  <c r="G23" i="9"/>
  <c r="G9" i="9"/>
  <c r="G17" i="9"/>
  <c r="H22" i="9"/>
  <c r="H23" i="9"/>
  <c r="H19" i="9"/>
  <c r="I10" i="9"/>
  <c r="I22" i="9"/>
  <c r="I23" i="9"/>
  <c r="I19" i="9"/>
  <c r="I15" i="9"/>
  <c r="L31" i="11"/>
  <c r="L42" i="11"/>
  <c r="L36" i="11"/>
  <c r="P36" i="11" s="1"/>
  <c r="L58" i="11"/>
  <c r="P58" i="11" s="1"/>
  <c r="L34" i="11"/>
  <c r="P34" i="11" s="1"/>
  <c r="L52" i="11"/>
  <c r="P52" i="11" s="1"/>
  <c r="L51" i="11"/>
  <c r="P51" i="11" s="1"/>
  <c r="L50" i="11"/>
  <c r="L29" i="11"/>
  <c r="L48" i="11"/>
  <c r="L35" i="11"/>
  <c r="L19" i="11"/>
  <c r="L56" i="11"/>
  <c r="L38" i="11"/>
  <c r="L25" i="11"/>
  <c r="P25" i="11" s="1"/>
  <c r="L49" i="11"/>
  <c r="P49" i="11" s="1"/>
  <c r="L33" i="11"/>
  <c r="P33" i="11" s="1"/>
  <c r="L57" i="11"/>
  <c r="P57" i="11" s="1"/>
  <c r="L39" i="11"/>
  <c r="P39" i="11" s="1"/>
  <c r="L30" i="11"/>
  <c r="M30" i="11" s="1"/>
  <c r="L54" i="11"/>
  <c r="L26" i="11"/>
  <c r="M26" i="11" s="1"/>
  <c r="L28" i="11"/>
  <c r="L9" i="11"/>
  <c r="L46" i="11"/>
  <c r="L32" i="11"/>
  <c r="L41" i="11"/>
  <c r="M41" i="11" s="1"/>
  <c r="L53" i="11"/>
  <c r="M53" i="11" s="1"/>
  <c r="L27" i="11"/>
  <c r="P27" i="11" s="1"/>
  <c r="Q27" i="11" s="1"/>
  <c r="L7" i="11"/>
  <c r="P7" i="11" s="1"/>
  <c r="L4" i="11"/>
  <c r="P4" i="11" s="1"/>
  <c r="L3" i="11"/>
  <c r="L23" i="11"/>
  <c r="L5" i="11"/>
  <c r="L12" i="11"/>
  <c r="L6" i="11"/>
  <c r="L40" i="11"/>
  <c r="L10" i="11"/>
  <c r="L44" i="11"/>
  <c r="L18" i="11"/>
  <c r="P18" i="11" s="1"/>
  <c r="L21" i="11"/>
  <c r="P21" i="11" s="1"/>
  <c r="L43" i="11"/>
  <c r="P43" i="11" s="1"/>
  <c r="L22" i="11"/>
  <c r="P22" i="11" s="1"/>
  <c r="L13" i="11"/>
  <c r="M13" i="11" s="1"/>
  <c r="L11" i="11"/>
  <c r="M11" i="11" s="1"/>
  <c r="L15" i="11"/>
  <c r="M15" i="11" s="1"/>
  <c r="L8" i="11"/>
  <c r="L16" i="11"/>
  <c r="L47" i="11"/>
  <c r="L55" i="11"/>
  <c r="L45" i="11"/>
  <c r="P45" i="11" s="1"/>
  <c r="Q45" i="11" s="1"/>
  <c r="L17" i="11"/>
  <c r="P17" i="11" s="1"/>
  <c r="Q17" i="11" s="1"/>
  <c r="L14" i="11"/>
  <c r="P14" i="11" s="1"/>
  <c r="Q14" i="11" s="1"/>
  <c r="M46" i="11"/>
  <c r="M32" i="11"/>
  <c r="N31" i="11"/>
  <c r="N42" i="11"/>
  <c r="N36" i="11"/>
  <c r="N58" i="11"/>
  <c r="N34" i="11"/>
  <c r="N52" i="11"/>
  <c r="N51" i="11"/>
  <c r="N50" i="11"/>
  <c r="N29" i="11"/>
  <c r="N48" i="11"/>
  <c r="N35" i="11"/>
  <c r="N19" i="11"/>
  <c r="N56" i="11"/>
  <c r="N38" i="11"/>
  <c r="N25" i="11"/>
  <c r="N49" i="11"/>
  <c r="N33" i="11"/>
  <c r="N57" i="11"/>
  <c r="N39" i="11"/>
  <c r="N30" i="11"/>
  <c r="O30" i="11" s="1"/>
  <c r="N54" i="11"/>
  <c r="O54" i="11" s="1"/>
  <c r="N26" i="11"/>
  <c r="N28" i="11"/>
  <c r="O28" i="11" s="1"/>
  <c r="N9" i="11"/>
  <c r="N46" i="11"/>
  <c r="N32" i="11"/>
  <c r="O32" i="11" s="1"/>
  <c r="N41" i="11"/>
  <c r="N53" i="11"/>
  <c r="N27" i="11"/>
  <c r="N7" i="11"/>
  <c r="N4" i="11"/>
  <c r="N3" i="11"/>
  <c r="N23" i="11"/>
  <c r="N5" i="11"/>
  <c r="N12" i="11"/>
  <c r="N6" i="11"/>
  <c r="N40" i="11"/>
  <c r="N10" i="11"/>
  <c r="N44" i="11"/>
  <c r="N18" i="11"/>
  <c r="N21" i="11"/>
  <c r="N43" i="11"/>
  <c r="N22" i="11"/>
  <c r="N13" i="11"/>
  <c r="O13" i="11" s="1"/>
  <c r="N11" i="11"/>
  <c r="N15" i="11"/>
  <c r="N8" i="11"/>
  <c r="N16" i="11"/>
  <c r="O16" i="11" s="1"/>
  <c r="N47" i="11"/>
  <c r="N55" i="11"/>
  <c r="O55" i="11" s="1"/>
  <c r="E15" i="9" s="1"/>
  <c r="N45" i="11"/>
  <c r="N17" i="11"/>
  <c r="O17" i="11" s="1"/>
  <c r="N14" i="11"/>
  <c r="O14" i="11" s="1"/>
  <c r="O27" i="11"/>
  <c r="O45" i="11"/>
  <c r="P32" i="11"/>
  <c r="Q32" i="11" s="1"/>
  <c r="P41" i="11"/>
  <c r="Q41" i="11" s="1"/>
  <c r="P53" i="11"/>
  <c r="Q53" i="11" s="1"/>
  <c r="P10" i="11"/>
  <c r="P44" i="11"/>
  <c r="I21" i="9"/>
  <c r="H21" i="9"/>
  <c r="AI4" i="9"/>
  <c r="AA4" i="9"/>
  <c r="Z4" i="9"/>
  <c r="AR4" i="9"/>
  <c r="AQ4" i="9"/>
  <c r="AS4" i="9" s="1" a="1"/>
  <c r="AS4" i="9" s="1"/>
  <c r="BD23" i="9" s="1"/>
  <c r="Y4" i="9"/>
  <c r="Y7" i="9"/>
  <c r="X4" i="9"/>
  <c r="AP4" i="9"/>
  <c r="W4" i="9"/>
  <c r="V4" i="9"/>
  <c r="P4" i="9"/>
  <c r="O4" i="9"/>
  <c r="O5" i="9"/>
  <c r="AH4" i="9"/>
  <c r="AH6" i="9"/>
  <c r="F5" i="9"/>
  <c r="AG6" i="9"/>
  <c r="D21" i="9"/>
  <c r="D13" i="9"/>
  <c r="D7" i="9"/>
  <c r="AJ6" i="29"/>
  <c r="AH6" i="29"/>
  <c r="AL6" i="29" s="1"/>
  <c r="AJ5" i="29"/>
  <c r="AH5" i="29"/>
  <c r="N5" i="29"/>
  <c r="L5" i="29"/>
  <c r="AJ4" i="29"/>
  <c r="AH4" i="29"/>
  <c r="N4" i="29"/>
  <c r="L4" i="29"/>
  <c r="P4" i="29" s="1"/>
  <c r="AJ3" i="29"/>
  <c r="AP3" i="29" s="1"/>
  <c r="AK15" i="29" s="1"/>
  <c r="AA12" i="37" s="1"/>
  <c r="AH3" i="29"/>
  <c r="AO3" i="29" s="1"/>
  <c r="N3" i="29"/>
  <c r="L3" i="29"/>
  <c r="AJ5" i="28"/>
  <c r="AH5" i="28"/>
  <c r="AJ4" i="28"/>
  <c r="AH4" i="28"/>
  <c r="N5" i="28"/>
  <c r="O5" i="28" s="1"/>
  <c r="L5" i="28"/>
  <c r="AJ3" i="28"/>
  <c r="AH3" i="28"/>
  <c r="AL3" i="28" s="1"/>
  <c r="N4" i="28"/>
  <c r="L4" i="28"/>
  <c r="N3" i="28"/>
  <c r="T3" i="28" s="1"/>
  <c r="O9" i="28" s="1"/>
  <c r="L3" i="28"/>
  <c r="AJ6" i="27"/>
  <c r="AH6" i="27"/>
  <c r="AL6" i="27" s="1"/>
  <c r="AJ5" i="27"/>
  <c r="AH5" i="27"/>
  <c r="AL5" i="27" s="1"/>
  <c r="N5" i="27"/>
  <c r="O5" i="27" s="1"/>
  <c r="L5" i="27"/>
  <c r="P5" i="27" s="1"/>
  <c r="Q5" i="27" s="1"/>
  <c r="AJ4" i="27"/>
  <c r="AH4" i="27"/>
  <c r="N4" i="27"/>
  <c r="O4" i="27" s="1"/>
  <c r="P7" i="38" s="1"/>
  <c r="L4" i="27"/>
  <c r="AJ3" i="27"/>
  <c r="AH3" i="27"/>
  <c r="N3" i="27"/>
  <c r="T3" i="27" s="1"/>
  <c r="O38" i="27" s="1"/>
  <c r="L3" i="27"/>
  <c r="AJ6" i="26"/>
  <c r="AH6" i="26"/>
  <c r="AJ5" i="26"/>
  <c r="AH5" i="26"/>
  <c r="N5" i="26"/>
  <c r="O5" i="26" s="1"/>
  <c r="L5" i="26"/>
  <c r="AJ4" i="26"/>
  <c r="AH4" i="26"/>
  <c r="N4" i="26"/>
  <c r="O4" i="26" s="1"/>
  <c r="L4" i="26"/>
  <c r="AJ3" i="26"/>
  <c r="AP3" i="26" s="1"/>
  <c r="AH3" i="26"/>
  <c r="AO3" i="26" s="1"/>
  <c r="N3" i="26"/>
  <c r="L3" i="26"/>
  <c r="AD6" i="25"/>
  <c r="AD5" i="25"/>
  <c r="L5" i="25"/>
  <c r="AD4" i="25"/>
  <c r="L4" i="25"/>
  <c r="AI3" i="25"/>
  <c r="AH3" i="25"/>
  <c r="AD3" i="25"/>
  <c r="Q3" i="25"/>
  <c r="P3" i="25"/>
  <c r="L3" i="25"/>
  <c r="O3" i="22"/>
  <c r="P19" i="39" s="1"/>
  <c r="AJ6" i="24"/>
  <c r="AH6" i="24"/>
  <c r="AJ5" i="24"/>
  <c r="AH5" i="24"/>
  <c r="AL5" i="24" s="1"/>
  <c r="N5" i="24"/>
  <c r="L5" i="24"/>
  <c r="AJ4" i="24"/>
  <c r="AH4" i="24"/>
  <c r="AL4" i="24" s="1"/>
  <c r="N4" i="24"/>
  <c r="L4" i="24"/>
  <c r="AJ3" i="24"/>
  <c r="AH3" i="24"/>
  <c r="N3" i="24"/>
  <c r="L3" i="24"/>
  <c r="S3" i="24" s="1"/>
  <c r="M7" i="24" s="1"/>
  <c r="H18" i="39" s="1"/>
  <c r="AJ6" i="23"/>
  <c r="AH6" i="23"/>
  <c r="AL6" i="23" s="1"/>
  <c r="AJ5" i="23"/>
  <c r="AH5" i="23"/>
  <c r="N5" i="23"/>
  <c r="L5" i="23"/>
  <c r="AJ4" i="23"/>
  <c r="AH4" i="23"/>
  <c r="AL4" i="23" s="1"/>
  <c r="N4" i="23"/>
  <c r="L4" i="23"/>
  <c r="AJ3" i="23"/>
  <c r="AP3" i="23" s="1"/>
  <c r="AH3" i="23"/>
  <c r="N3" i="23"/>
  <c r="L3" i="23"/>
  <c r="AJ6" i="22"/>
  <c r="AH6" i="22"/>
  <c r="AJ5" i="22"/>
  <c r="AH5" i="22"/>
  <c r="N5" i="22"/>
  <c r="L5" i="22"/>
  <c r="AJ4" i="22"/>
  <c r="AH4" i="22"/>
  <c r="N4" i="22"/>
  <c r="L4" i="22"/>
  <c r="AJ3" i="22"/>
  <c r="AH3" i="22"/>
  <c r="N3" i="22"/>
  <c r="L3" i="22"/>
  <c r="AJ6" i="21"/>
  <c r="AH6" i="21"/>
  <c r="AL6" i="21" s="1"/>
  <c r="AJ5" i="21"/>
  <c r="AH5" i="21"/>
  <c r="AL5" i="21" s="1"/>
  <c r="N5" i="21"/>
  <c r="L5" i="21"/>
  <c r="AJ4" i="21"/>
  <c r="AH4" i="21"/>
  <c r="AL4" i="21" s="1"/>
  <c r="N4" i="21"/>
  <c r="L4" i="21"/>
  <c r="AJ3" i="21"/>
  <c r="AH3" i="21"/>
  <c r="AO3" i="21" s="1"/>
  <c r="N3" i="21"/>
  <c r="L3" i="21"/>
  <c r="P3" i="21" s="1"/>
  <c r="AD6" i="15"/>
  <c r="AE6" i="15" s="1"/>
  <c r="AD5" i="15"/>
  <c r="L5" i="15"/>
  <c r="AD4" i="15"/>
  <c r="AE4" i="15" s="1"/>
  <c r="L4" i="15"/>
  <c r="AH3" i="15"/>
  <c r="AD3" i="15"/>
  <c r="P3" i="15"/>
  <c r="L3" i="15"/>
  <c r="AJ6" i="14"/>
  <c r="AH6" i="14"/>
  <c r="AJ5" i="14"/>
  <c r="AH5" i="14"/>
  <c r="AL5" i="14" s="1"/>
  <c r="N5" i="14"/>
  <c r="L5" i="14"/>
  <c r="AJ4" i="14"/>
  <c r="AH4" i="14"/>
  <c r="AI4" i="14" s="1"/>
  <c r="N4" i="14"/>
  <c r="L4" i="14"/>
  <c r="AJ3" i="14"/>
  <c r="AP3" i="14" s="1"/>
  <c r="AH3" i="14"/>
  <c r="N3" i="14"/>
  <c r="L3" i="14"/>
  <c r="AJ12" i="13"/>
  <c r="AK12" i="13" s="1"/>
  <c r="AH12" i="13"/>
  <c r="AL12" i="13" s="1"/>
  <c r="AM12" i="13" s="1"/>
  <c r="AJ5" i="13"/>
  <c r="AH5" i="13"/>
  <c r="N5" i="13"/>
  <c r="L5" i="13"/>
  <c r="P5" i="13" s="1"/>
  <c r="AJ6" i="13"/>
  <c r="AH6" i="13"/>
  <c r="AL6" i="13" s="1"/>
  <c r="N4" i="13"/>
  <c r="L4" i="13"/>
  <c r="P4" i="13" s="1"/>
  <c r="Q4" i="13" s="1"/>
  <c r="AJ22" i="13"/>
  <c r="AK22" i="13" s="1"/>
  <c r="AH22" i="13"/>
  <c r="AL22" i="13" s="1"/>
  <c r="N3" i="13"/>
  <c r="L3" i="13"/>
  <c r="AJ7" i="12"/>
  <c r="AH7" i="12"/>
  <c r="AL7" i="12" s="1"/>
  <c r="AM7" i="12" s="1"/>
  <c r="AG9" i="37" s="1"/>
  <c r="AJ6" i="12"/>
  <c r="AH6" i="12"/>
  <c r="N26" i="12"/>
  <c r="L26" i="12"/>
  <c r="P26" i="12" s="1"/>
  <c r="AJ5" i="12"/>
  <c r="AH5" i="12"/>
  <c r="AI5" i="12" s="1"/>
  <c r="D6" i="37" s="1"/>
  <c r="N3" i="12"/>
  <c r="L3" i="12"/>
  <c r="P3" i="12" s="1"/>
  <c r="AJ4" i="12"/>
  <c r="AH4" i="12"/>
  <c r="N25" i="12"/>
  <c r="L25" i="12"/>
  <c r="AH5" i="11"/>
  <c r="AH4" i="11"/>
  <c r="AH3" i="11"/>
  <c r="AH6" i="11"/>
  <c r="AJ5" i="11"/>
  <c r="AJ4" i="11"/>
  <c r="AJ3" i="11"/>
  <c r="AJ6" i="11"/>
  <c r="N24" i="11"/>
  <c r="N20" i="11"/>
  <c r="N37" i="11"/>
  <c r="L24" i="11"/>
  <c r="L20" i="11"/>
  <c r="L37" i="11"/>
  <c r="C16" i="10"/>
  <c r="C46" i="10"/>
  <c r="C23" i="10"/>
  <c r="C30" i="10"/>
  <c r="G19" i="10"/>
  <c r="C19" i="10" s="1"/>
  <c r="G8" i="10"/>
  <c r="C8" i="10" s="1"/>
  <c r="G24" i="10"/>
  <c r="C24" i="10" s="1"/>
  <c r="G49" i="10"/>
  <c r="C49" i="10" s="1"/>
  <c r="G31" i="10"/>
  <c r="C31" i="10" s="1"/>
  <c r="G38" i="10"/>
  <c r="C38" i="10" s="1"/>
  <c r="G9" i="10"/>
  <c r="C9" i="10" s="1"/>
  <c r="G52" i="10"/>
  <c r="C52" i="10" s="1"/>
  <c r="G32" i="10"/>
  <c r="C32" i="10" s="1"/>
  <c r="G15" i="10"/>
  <c r="C15" i="10" s="1"/>
  <c r="G53" i="10"/>
  <c r="C53" i="10" s="1"/>
  <c r="G2" i="10"/>
  <c r="C2" i="10" s="1"/>
  <c r="G33" i="10"/>
  <c r="C33" i="10" s="1"/>
  <c r="G39" i="10"/>
  <c r="C39" i="10" s="1"/>
  <c r="G20" i="10"/>
  <c r="C20" i="10" s="1"/>
  <c r="G37" i="10"/>
  <c r="C37" i="10" s="1"/>
  <c r="G10" i="10"/>
  <c r="C10" i="10" s="1"/>
  <c r="G50" i="10"/>
  <c r="C50" i="10" s="1"/>
  <c r="G16" i="10"/>
  <c r="G12" i="10"/>
  <c r="C12" i="10" s="1"/>
  <c r="G34" i="10"/>
  <c r="C34" i="10" s="1"/>
  <c r="G21" i="10"/>
  <c r="C21" i="10" s="1"/>
  <c r="G42" i="10"/>
  <c r="C42" i="10" s="1"/>
  <c r="G17" i="10"/>
  <c r="C17" i="10" s="1"/>
  <c r="G54" i="10"/>
  <c r="C54" i="10" s="1"/>
  <c r="G55" i="10"/>
  <c r="C55" i="10" s="1"/>
  <c r="G25" i="10"/>
  <c r="C25" i="10" s="1"/>
  <c r="G44" i="10"/>
  <c r="C44" i="10" s="1"/>
  <c r="G48" i="10"/>
  <c r="C48" i="10" s="1"/>
  <c r="G47" i="10"/>
  <c r="C47" i="10" s="1"/>
  <c r="G22" i="10"/>
  <c r="C22" i="10" s="1"/>
  <c r="G18" i="10"/>
  <c r="C18" i="10" s="1"/>
  <c r="G35" i="10"/>
  <c r="C35" i="10" s="1"/>
  <c r="G13" i="10"/>
  <c r="C13" i="10" s="1"/>
  <c r="G51" i="10"/>
  <c r="C51" i="10" s="1"/>
  <c r="G26" i="10"/>
  <c r="C26" i="10" s="1"/>
  <c r="G3" i="10"/>
  <c r="C3" i="10" s="1"/>
  <c r="G11" i="10"/>
  <c r="C11" i="10" s="1"/>
  <c r="G14" i="10"/>
  <c r="C14" i="10" s="1"/>
  <c r="G36" i="10"/>
  <c r="C36" i="10" s="1"/>
  <c r="G40" i="10"/>
  <c r="C40" i="10" s="1"/>
  <c r="G41" i="10"/>
  <c r="C41" i="10" s="1"/>
  <c r="G46" i="10"/>
  <c r="G23" i="10"/>
  <c r="G27" i="10"/>
  <c r="C27" i="10" s="1"/>
  <c r="G43" i="10"/>
  <c r="C43" i="10" s="1"/>
  <c r="G4" i="10"/>
  <c r="C4" i="10" s="1"/>
  <c r="G5" i="10"/>
  <c r="C5" i="10" s="1"/>
  <c r="G56" i="10"/>
  <c r="C56" i="10" s="1"/>
  <c r="G28" i="10"/>
  <c r="C28" i="10" s="1"/>
  <c r="G45" i="10"/>
  <c r="C45" i="10" s="1"/>
  <c r="G29" i="10"/>
  <c r="C29" i="10" s="1"/>
  <c r="G6" i="10"/>
  <c r="C6" i="10" s="1"/>
  <c r="G7" i="10"/>
  <c r="C7" i="10" s="1"/>
  <c r="G30" i="10"/>
  <c r="B19" i="10"/>
  <c r="B8" i="10"/>
  <c r="B24" i="10"/>
  <c r="B49" i="10"/>
  <c r="B31" i="10"/>
  <c r="B38" i="10"/>
  <c r="B9" i="10"/>
  <c r="B52" i="10"/>
  <c r="B32" i="10"/>
  <c r="B15" i="10"/>
  <c r="B53" i="10"/>
  <c r="B2" i="10"/>
  <c r="B33" i="10"/>
  <c r="B39" i="10"/>
  <c r="B20" i="10"/>
  <c r="B37" i="10"/>
  <c r="B10" i="10"/>
  <c r="B50" i="10"/>
  <c r="B16" i="10"/>
  <c r="B12" i="10"/>
  <c r="B34" i="10"/>
  <c r="B21" i="10"/>
  <c r="B42" i="10"/>
  <c r="B17" i="10"/>
  <c r="B54" i="10"/>
  <c r="B55" i="10"/>
  <c r="B25" i="10"/>
  <c r="B44" i="10"/>
  <c r="B48" i="10"/>
  <c r="B47" i="10"/>
  <c r="B22" i="10"/>
  <c r="B18" i="10"/>
  <c r="B35" i="10"/>
  <c r="B13" i="10"/>
  <c r="B51" i="10"/>
  <c r="B26" i="10"/>
  <c r="B3" i="10"/>
  <c r="B11" i="10"/>
  <c r="B14" i="10"/>
  <c r="B36" i="10"/>
  <c r="B40" i="10"/>
  <c r="B41" i="10"/>
  <c r="B46" i="10"/>
  <c r="B23" i="10"/>
  <c r="B27" i="10"/>
  <c r="B43" i="10"/>
  <c r="B4" i="10"/>
  <c r="B5" i="10"/>
  <c r="B56" i="10"/>
  <c r="B28" i="10"/>
  <c r="B45" i="10"/>
  <c r="B29" i="10"/>
  <c r="B6" i="10"/>
  <c r="B7" i="10"/>
  <c r="B30" i="10"/>
  <c r="P3" i="23" l="1"/>
  <c r="P12" i="23"/>
  <c r="P18" i="23"/>
  <c r="P11" i="23"/>
  <c r="P22" i="23"/>
  <c r="P10" i="23"/>
  <c r="AI7" i="29"/>
  <c r="Z11" i="37" s="1"/>
  <c r="AI19" i="29"/>
  <c r="Z7" i="41" s="1"/>
  <c r="AI8" i="29"/>
  <c r="Z7" i="37" s="1"/>
  <c r="AI20" i="29"/>
  <c r="Z5" i="41" s="1"/>
  <c r="AI9" i="29"/>
  <c r="AI21" i="29"/>
  <c r="Z6" i="41" s="1"/>
  <c r="AI10" i="29"/>
  <c r="AI22" i="29"/>
  <c r="AI18" i="29"/>
  <c r="AI17" i="29"/>
  <c r="Z14" i="37" s="1"/>
  <c r="AI25" i="29"/>
  <c r="AI24" i="29"/>
  <c r="Z3" i="41" s="1"/>
  <c r="AI11" i="29"/>
  <c r="Z8" i="37" s="1"/>
  <c r="AK26" i="29"/>
  <c r="AA8" i="41" s="1"/>
  <c r="AK14" i="29"/>
  <c r="AA4" i="37" s="1"/>
  <c r="AK25" i="29"/>
  <c r="AK24" i="29"/>
  <c r="AA3" i="41" s="1"/>
  <c r="AK12" i="29"/>
  <c r="AA3" i="37" s="1"/>
  <c r="AK21" i="29"/>
  <c r="AA6" i="41" s="1"/>
  <c r="AK9" i="29"/>
  <c r="AK20" i="29"/>
  <c r="AA5" i="41" s="1"/>
  <c r="AK8" i="29"/>
  <c r="AA7" i="37" s="1"/>
  <c r="AK19" i="29"/>
  <c r="AA7" i="41" s="1"/>
  <c r="AK7" i="29"/>
  <c r="AA11" i="37" s="1"/>
  <c r="AI12" i="29"/>
  <c r="Z3" i="37" s="1"/>
  <c r="AI23" i="29"/>
  <c r="AK23" i="29"/>
  <c r="AK11" i="29"/>
  <c r="AA8" i="37" s="1"/>
  <c r="AI4" i="29"/>
  <c r="Z6" i="37" s="1"/>
  <c r="AK4" i="29"/>
  <c r="AA6" i="37" s="1"/>
  <c r="AI5" i="29"/>
  <c r="Z9" i="37" s="1"/>
  <c r="AL17" i="29"/>
  <c r="AM17" i="29" s="1"/>
  <c r="AR14" i="37" s="1"/>
  <c r="AK5" i="29"/>
  <c r="AA9" i="37" s="1"/>
  <c r="AI16" i="29"/>
  <c r="Z13" i="37" s="1"/>
  <c r="AK3" i="29"/>
  <c r="AA10" i="37" s="1"/>
  <c r="AI15" i="29"/>
  <c r="Z12" i="37" s="1"/>
  <c r="AK6" i="29"/>
  <c r="AA15" i="37" s="1"/>
  <c r="AI14" i="29"/>
  <c r="Z4" i="37" s="1"/>
  <c r="AL25" i="29"/>
  <c r="AL13" i="29"/>
  <c r="AM13" i="29" s="1"/>
  <c r="AR5" i="37" s="1"/>
  <c r="AT5" i="37" s="1" a="1"/>
  <c r="AT5" i="37" s="1"/>
  <c r="AL24" i="29"/>
  <c r="AL12" i="29"/>
  <c r="AL18" i="29"/>
  <c r="AM18" i="29" s="1"/>
  <c r="AI3" i="29"/>
  <c r="Z10" i="37" s="1"/>
  <c r="AL3" i="29"/>
  <c r="AL26" i="29"/>
  <c r="AM26" i="29" s="1"/>
  <c r="AR8" i="41" s="1"/>
  <c r="AL23" i="29"/>
  <c r="AL11" i="29"/>
  <c r="AI7" i="21"/>
  <c r="Z7" i="36" s="1"/>
  <c r="AI8" i="21"/>
  <c r="Z12" i="36" s="1"/>
  <c r="AI21" i="21"/>
  <c r="Z8" i="40" s="1"/>
  <c r="AI10" i="21"/>
  <c r="AI13" i="21"/>
  <c r="AI14" i="21"/>
  <c r="AI19" i="21"/>
  <c r="Z6" i="40" s="1"/>
  <c r="AI20" i="21"/>
  <c r="Z5" i="40" s="1"/>
  <c r="AI22" i="21"/>
  <c r="Z11" i="40" s="1"/>
  <c r="AI9" i="21"/>
  <c r="AI11" i="21"/>
  <c r="Z9" i="36" s="1"/>
  <c r="AI12" i="21"/>
  <c r="AK9" i="21"/>
  <c r="AK3" i="21"/>
  <c r="AA10" i="36" s="1"/>
  <c r="AK20" i="21"/>
  <c r="AA5" i="40" s="1"/>
  <c r="AK19" i="21"/>
  <c r="AA6" i="40" s="1"/>
  <c r="AK6" i="21"/>
  <c r="AA8" i="36" s="1"/>
  <c r="AL10" i="21"/>
  <c r="AL9" i="21"/>
  <c r="AL8" i="21"/>
  <c r="AL7" i="21"/>
  <c r="AK4" i="21"/>
  <c r="AA4" i="36" s="1"/>
  <c r="AL17" i="21"/>
  <c r="AM17" i="21" s="1"/>
  <c r="AR11" i="36" s="1"/>
  <c r="AK21" i="21"/>
  <c r="AA8" i="40" s="1"/>
  <c r="AK5" i="21"/>
  <c r="AA5" i="36" s="1"/>
  <c r="AL3" i="21"/>
  <c r="AP3" i="21"/>
  <c r="AK7" i="21" s="1"/>
  <c r="AA7" i="36" s="1"/>
  <c r="AL20" i="21"/>
  <c r="AL19" i="21"/>
  <c r="AK22" i="21"/>
  <c r="AA11" i="40" s="1"/>
  <c r="AL16" i="21"/>
  <c r="AM16" i="21" s="1"/>
  <c r="AI3" i="21"/>
  <c r="Z10" i="36" s="1"/>
  <c r="AL18" i="21"/>
  <c r="AL15" i="21"/>
  <c r="O16" i="29"/>
  <c r="AA12" i="35" s="1"/>
  <c r="O14" i="29"/>
  <c r="T19" i="39" s="1"/>
  <c r="O13" i="29"/>
  <c r="T7" i="39" s="1"/>
  <c r="M17" i="29"/>
  <c r="Z6" i="35" s="1"/>
  <c r="M16" i="29"/>
  <c r="Z12" i="35" s="1"/>
  <c r="M15" i="29"/>
  <c r="S21" i="39" s="1"/>
  <c r="O12" i="29"/>
  <c r="T17" i="39" s="1"/>
  <c r="M5" i="29"/>
  <c r="S18" i="39" s="1"/>
  <c r="O5" i="29"/>
  <c r="T18" i="39" s="1"/>
  <c r="T3" i="29"/>
  <c r="O17" i="29" s="1"/>
  <c r="AA6" i="35" s="1"/>
  <c r="O4" i="29"/>
  <c r="T20" i="39" s="1"/>
  <c r="O21" i="21"/>
  <c r="AA6" i="9" s="1"/>
  <c r="O9" i="21"/>
  <c r="T19" i="38" s="1"/>
  <c r="M25" i="21"/>
  <c r="Z14" i="9" s="1"/>
  <c r="M35" i="21"/>
  <c r="Z10" i="9" s="1"/>
  <c r="M23" i="21"/>
  <c r="Z5" i="9" s="1"/>
  <c r="M11" i="21"/>
  <c r="S11" i="38" s="1"/>
  <c r="O4" i="21"/>
  <c r="O25" i="21"/>
  <c r="AA14" i="9" s="1"/>
  <c r="O13" i="21"/>
  <c r="T20" i="38" s="1"/>
  <c r="O35" i="21"/>
  <c r="AA10" i="9" s="1"/>
  <c r="O23" i="21"/>
  <c r="AA5" i="9" s="1"/>
  <c r="O11" i="21"/>
  <c r="T11" i="38" s="1"/>
  <c r="AB4" i="9" a="1"/>
  <c r="AB4" i="9" s="1"/>
  <c r="AZ23" i="9" s="1"/>
  <c r="P29" i="21"/>
  <c r="P17" i="21"/>
  <c r="AB15" i="9" a="1"/>
  <c r="AB15" i="9" s="1"/>
  <c r="AZ21" i="9" s="1"/>
  <c r="M16" i="21"/>
  <c r="S18" i="38" s="1"/>
  <c r="M27" i="21"/>
  <c r="Z22" i="9" s="1"/>
  <c r="M15" i="21"/>
  <c r="P19" i="23"/>
  <c r="P7" i="23"/>
  <c r="P6" i="23"/>
  <c r="T3" i="23"/>
  <c r="P16" i="23"/>
  <c r="P14" i="23"/>
  <c r="P15" i="23"/>
  <c r="P13" i="23"/>
  <c r="AK21" i="23"/>
  <c r="I8" i="40" s="1"/>
  <c r="AK20" i="23"/>
  <c r="I5" i="40" s="1"/>
  <c r="AK7" i="23"/>
  <c r="AK14" i="23"/>
  <c r="AK15" i="23"/>
  <c r="I6" i="36" s="1"/>
  <c r="AK16" i="23"/>
  <c r="I5" i="36" s="1"/>
  <c r="AK11" i="23"/>
  <c r="AK12" i="23"/>
  <c r="I11" i="36" s="1"/>
  <c r="AK13" i="23"/>
  <c r="I9" i="36" s="1"/>
  <c r="AK17" i="23"/>
  <c r="AK18" i="23"/>
  <c r="AK10" i="23"/>
  <c r="AK9" i="23"/>
  <c r="I7" i="36" s="1"/>
  <c r="AK8" i="23"/>
  <c r="I12" i="36" s="1"/>
  <c r="AK19" i="23"/>
  <c r="I6" i="40" s="1"/>
  <c r="AI3" i="23"/>
  <c r="H10" i="36" s="1"/>
  <c r="AL21" i="23"/>
  <c r="AL9" i="23"/>
  <c r="AK5" i="23"/>
  <c r="I8" i="36" s="1"/>
  <c r="AL20" i="23"/>
  <c r="AL8" i="23"/>
  <c r="AK3" i="23"/>
  <c r="I10" i="36" s="1"/>
  <c r="AL7" i="23"/>
  <c r="AK6" i="23"/>
  <c r="I4" i="36" s="1"/>
  <c r="AL18" i="23"/>
  <c r="AO3" i="23"/>
  <c r="AI6" i="23" s="1"/>
  <c r="H4" i="36" s="1"/>
  <c r="AI17" i="23"/>
  <c r="AL16" i="23"/>
  <c r="AM16" i="23" s="1"/>
  <c r="AI5" i="36" s="1"/>
  <c r="AK4" i="23"/>
  <c r="AL22" i="23"/>
  <c r="AM22" i="23" s="1"/>
  <c r="AI11" i="40" s="1"/>
  <c r="AK11" i="40" s="1" a="1"/>
  <c r="AK11" i="40" s="1"/>
  <c r="AL10" i="23"/>
  <c r="AL19" i="23"/>
  <c r="AL3" i="23"/>
  <c r="AL15" i="23"/>
  <c r="O14" i="24"/>
  <c r="M23" i="24"/>
  <c r="H6" i="35" s="1"/>
  <c r="M21" i="24"/>
  <c r="H19" i="35" s="1"/>
  <c r="M9" i="24"/>
  <c r="H7" i="39" s="1"/>
  <c r="M20" i="24"/>
  <c r="H9" i="35" s="1"/>
  <c r="M8" i="24"/>
  <c r="H6" i="39" s="1"/>
  <c r="M4" i="24"/>
  <c r="H21" i="39" s="1"/>
  <c r="M18" i="24"/>
  <c r="H12" i="35" s="1"/>
  <c r="M6" i="24"/>
  <c r="H4" i="39" s="1"/>
  <c r="M11" i="24"/>
  <c r="H9" i="39" s="1"/>
  <c r="T3" i="24"/>
  <c r="O16" i="24" s="1"/>
  <c r="I4" i="35" s="1"/>
  <c r="P16" i="24"/>
  <c r="M10" i="24"/>
  <c r="H17" i="39" s="1"/>
  <c r="M19" i="24"/>
  <c r="H8" i="35" s="1"/>
  <c r="P4" i="24"/>
  <c r="M5" i="24"/>
  <c r="H20" i="39" s="1"/>
  <c r="J20" i="39" s="1" a="1"/>
  <c r="J20" i="39" s="1"/>
  <c r="P5" i="24"/>
  <c r="AK19" i="24"/>
  <c r="I6" i="41" s="1"/>
  <c r="AK7" i="24"/>
  <c r="I15" i="37" s="1"/>
  <c r="AK12" i="24"/>
  <c r="I3" i="37" s="1"/>
  <c r="AK25" i="24"/>
  <c r="AK13" i="24"/>
  <c r="I12" i="37" s="1"/>
  <c r="AK24" i="24"/>
  <c r="I8" i="41" s="1"/>
  <c r="AK22" i="24"/>
  <c r="I7" i="41" s="1"/>
  <c r="AK10" i="24"/>
  <c r="I8" i="37" s="1"/>
  <c r="AL18" i="24"/>
  <c r="AM18" i="24" s="1"/>
  <c r="AI11" i="37" s="1"/>
  <c r="AL15" i="24"/>
  <c r="AM15" i="24" s="1"/>
  <c r="AI14" i="24"/>
  <c r="H10" i="37" s="1"/>
  <c r="AI25" i="24"/>
  <c r="AL6" i="24"/>
  <c r="AL24" i="24"/>
  <c r="AM24" i="24" s="1"/>
  <c r="AI8" i="41" s="1"/>
  <c r="AK8" i="41" s="1" a="1"/>
  <c r="AK8" i="41" s="1"/>
  <c r="BC4" i="41" s="1"/>
  <c r="AL12" i="24"/>
  <c r="AL16" i="24"/>
  <c r="AM16" i="24" s="1"/>
  <c r="AI7" i="37" s="1"/>
  <c r="AL13" i="24"/>
  <c r="AM13" i="24" s="1"/>
  <c r="AI12" i="37" s="1"/>
  <c r="AP3" i="24"/>
  <c r="AL23" i="24"/>
  <c r="AM23" i="24" s="1"/>
  <c r="AL11" i="24"/>
  <c r="AL12" i="38" a="1"/>
  <c r="AL12" i="38" s="1"/>
  <c r="AV17" i="38" s="1"/>
  <c r="AM15" i="38" a="1"/>
  <c r="AM15" i="38" s="1"/>
  <c r="AW19" i="38" s="1"/>
  <c r="AD8" i="39" a="1"/>
  <c r="AD8" i="39" s="1"/>
  <c r="J22" i="39" a="1"/>
  <c r="J22" i="39" s="1"/>
  <c r="AR15" i="39" s="1"/>
  <c r="AD15" i="39" a="1"/>
  <c r="AD15" i="39" s="1"/>
  <c r="AL11" i="39" a="1"/>
  <c r="AL11" i="39" s="1"/>
  <c r="J16" i="39" a="1"/>
  <c r="J16" i="39" s="1"/>
  <c r="J21" i="39" a="1"/>
  <c r="J21" i="39" s="1"/>
  <c r="AR16" i="39" s="1"/>
  <c r="AD22" i="39" a="1"/>
  <c r="AD22" i="39" s="1"/>
  <c r="AC22" i="39" a="1"/>
  <c r="AC22" i="39" s="1"/>
  <c r="AC12" i="39" a="1"/>
  <c r="AC12" i="39" s="1"/>
  <c r="J13" i="39" a="1"/>
  <c r="J13" i="39" s="1"/>
  <c r="J14" i="39" a="1"/>
  <c r="J14" i="39" s="1"/>
  <c r="AL14" i="39" a="1"/>
  <c r="AL14" i="39" s="1"/>
  <c r="AM11" i="39" a="1"/>
  <c r="AM11" i="39" s="1"/>
  <c r="AM3" i="39" a="1"/>
  <c r="AM3" i="39" s="1"/>
  <c r="AW22" i="39" s="1"/>
  <c r="AD3" i="39" a="1"/>
  <c r="AD3" i="39" s="1"/>
  <c r="AD10" i="39" a="1"/>
  <c r="AD10" i="39" s="1"/>
  <c r="AD16" i="39" a="1"/>
  <c r="AD16" i="39" s="1"/>
  <c r="Q17" i="9" a="1"/>
  <c r="Q17" i="9" s="1"/>
  <c r="BA20" i="9" s="1"/>
  <c r="Q13" i="9" a="1"/>
  <c r="Q13" i="9" s="1"/>
  <c r="BA22" i="9" s="1"/>
  <c r="AE50" i="25"/>
  <c r="AE47" i="25"/>
  <c r="P3" i="37" s="1"/>
  <c r="AG3" i="25"/>
  <c r="AE11" i="25" s="1"/>
  <c r="Q7" i="35" a="1"/>
  <c r="Q7" i="35" s="1"/>
  <c r="BA16" i="35" s="1"/>
  <c r="Q5" i="35" a="1"/>
  <c r="Q5" i="35" s="1"/>
  <c r="BA15" i="35" s="1"/>
  <c r="O3" i="25"/>
  <c r="M42" i="25" s="1"/>
  <c r="AE18" i="25"/>
  <c r="P20" i="35" s="1"/>
  <c r="Q3" i="35" a="1"/>
  <c r="Q3" i="35" s="1"/>
  <c r="BA14" i="35" s="1"/>
  <c r="AE15" i="25"/>
  <c r="AE37" i="25"/>
  <c r="P3" i="41" s="1"/>
  <c r="Q3" i="41" s="1" a="1"/>
  <c r="Q3" i="41" s="1"/>
  <c r="AE48" i="25"/>
  <c r="P14" i="37" s="1"/>
  <c r="AE33" i="25"/>
  <c r="P10" i="37" s="1"/>
  <c r="AE14" i="25"/>
  <c r="AE28" i="25"/>
  <c r="P5" i="41" s="1"/>
  <c r="AE39" i="25"/>
  <c r="P12" i="37" s="1"/>
  <c r="AE9" i="25"/>
  <c r="AE8" i="25"/>
  <c r="P4" i="35" s="1"/>
  <c r="AE4" i="25"/>
  <c r="Q4" i="9" a="1"/>
  <c r="Q4" i="9" s="1"/>
  <c r="BA23" i="9" s="1"/>
  <c r="Q15" i="9" a="1"/>
  <c r="Q15" i="9" s="1"/>
  <c r="BA21" i="9" s="1"/>
  <c r="Q3" i="36" a="1"/>
  <c r="Q3" i="36" s="1"/>
  <c r="Q8" i="36" a="1"/>
  <c r="Q8" i="36" s="1"/>
  <c r="Q20" i="9" a="1"/>
  <c r="Q20" i="9" s="1"/>
  <c r="BA19" i="9" s="1"/>
  <c r="Q19" i="9" a="1"/>
  <c r="Q19" i="9" s="1"/>
  <c r="BA17" i="9" s="1"/>
  <c r="Q3" i="40" a="1"/>
  <c r="Q3" i="40" s="1"/>
  <c r="BA7" i="40" s="1"/>
  <c r="Q6" i="40" a="1"/>
  <c r="Q6" i="40" s="1"/>
  <c r="BA3" i="40" s="1"/>
  <c r="Q12" i="36" a="1"/>
  <c r="Q12" i="36" s="1"/>
  <c r="P49" i="22"/>
  <c r="Q49" i="22" s="1"/>
  <c r="M49" i="22"/>
  <c r="P14" i="22"/>
  <c r="P37" i="22"/>
  <c r="M28" i="22"/>
  <c r="P17" i="22"/>
  <c r="M52" i="22"/>
  <c r="M51" i="22"/>
  <c r="P26" i="22"/>
  <c r="M16" i="22"/>
  <c r="P38" i="22"/>
  <c r="P25" i="22"/>
  <c r="M19" i="22"/>
  <c r="P50" i="22"/>
  <c r="Q50" i="22" s="1"/>
  <c r="M50" i="22"/>
  <c r="M27" i="22"/>
  <c r="P5" i="22"/>
  <c r="M48" i="22"/>
  <c r="M36" i="22"/>
  <c r="M12" i="22"/>
  <c r="V4" i="35" s="1"/>
  <c r="M47" i="22"/>
  <c r="O8" i="39" s="1"/>
  <c r="M22" i="22"/>
  <c r="V18" i="35" s="1"/>
  <c r="S3" i="22"/>
  <c r="M29" i="22" s="1"/>
  <c r="T3" i="22"/>
  <c r="O21" i="22" s="1"/>
  <c r="M53" i="27"/>
  <c r="P53" i="27"/>
  <c r="Q53" i="27" s="1"/>
  <c r="P17" i="27"/>
  <c r="O39" i="27"/>
  <c r="P20" i="38" s="1"/>
  <c r="O27" i="27"/>
  <c r="W12" i="9" s="1"/>
  <c r="O15" i="27"/>
  <c r="P41" i="27"/>
  <c r="O16" i="27"/>
  <c r="O28" i="27"/>
  <c r="O40" i="27"/>
  <c r="O17" i="27"/>
  <c r="W6" i="9" s="1"/>
  <c r="O29" i="27"/>
  <c r="W3" i="9" s="1"/>
  <c r="O41" i="27"/>
  <c r="W14" i="9" s="1"/>
  <c r="O22" i="27"/>
  <c r="O7" i="27"/>
  <c r="O19" i="27"/>
  <c r="W23" i="9" s="1"/>
  <c r="O31" i="27"/>
  <c r="W8" i="9" s="1"/>
  <c r="O43" i="27"/>
  <c r="W9" i="9" s="1"/>
  <c r="O9" i="27"/>
  <c r="P9" i="38" s="1"/>
  <c r="O21" i="27"/>
  <c r="W22" i="9" s="1"/>
  <c r="O33" i="27"/>
  <c r="W11" i="9" s="1"/>
  <c r="O45" i="27"/>
  <c r="O12" i="27"/>
  <c r="O24" i="27"/>
  <c r="O36" i="27"/>
  <c r="O25" i="27"/>
  <c r="O37" i="27"/>
  <c r="P17" i="38" s="1"/>
  <c r="O35" i="27"/>
  <c r="P19" i="38" s="1"/>
  <c r="O23" i="27"/>
  <c r="O11" i="27"/>
  <c r="W17" i="9" s="1"/>
  <c r="O26" i="27"/>
  <c r="W10" i="9" s="1"/>
  <c r="O14" i="27"/>
  <c r="M32" i="27"/>
  <c r="V21" i="9" s="1"/>
  <c r="O32" i="27"/>
  <c r="W21" i="9" s="1"/>
  <c r="O20" i="27"/>
  <c r="W19" i="9" s="1"/>
  <c r="O8" i="27"/>
  <c r="W16" i="9" s="1"/>
  <c r="AB13" i="9" a="1"/>
  <c r="AB13" i="9" s="1"/>
  <c r="AZ22" i="9" s="1"/>
  <c r="P47" i="27"/>
  <c r="Q47" i="27" s="1"/>
  <c r="P35" i="27"/>
  <c r="P23" i="27"/>
  <c r="P11" i="27"/>
  <c r="P4" i="27"/>
  <c r="Q4" i="27" s="1"/>
  <c r="AI7" i="38" s="1"/>
  <c r="P46" i="27"/>
  <c r="Q46" i="27" s="1"/>
  <c r="P34" i="27"/>
  <c r="Q34" i="27" s="1"/>
  <c r="AI6" i="38" s="1"/>
  <c r="P22" i="27"/>
  <c r="P10" i="27"/>
  <c r="Q10" i="27" s="1"/>
  <c r="P44" i="27"/>
  <c r="Q44" i="27" s="1"/>
  <c r="P32" i="27"/>
  <c r="P20" i="27"/>
  <c r="P8" i="27"/>
  <c r="P54" i="27"/>
  <c r="Q54" i="27" s="1"/>
  <c r="P42" i="27"/>
  <c r="P30" i="27"/>
  <c r="P18" i="27"/>
  <c r="P6" i="27"/>
  <c r="AS13" i="9" a="1"/>
  <c r="AS13" i="9" s="1"/>
  <c r="BD22" i="9" s="1"/>
  <c r="P29" i="27"/>
  <c r="Q29" i="27" s="1"/>
  <c r="AP3" i="9" s="1"/>
  <c r="S3" i="27"/>
  <c r="M37" i="27" s="1"/>
  <c r="O17" i="38" s="1"/>
  <c r="AI25" i="22"/>
  <c r="AI10" i="22"/>
  <c r="V3" i="37" s="1"/>
  <c r="AI28" i="22"/>
  <c r="AL30" i="22"/>
  <c r="AL18" i="22"/>
  <c r="AL6" i="22"/>
  <c r="AL40" i="22"/>
  <c r="AM40" i="22" s="1"/>
  <c r="AL28" i="22"/>
  <c r="AM28" i="22" s="1"/>
  <c r="AO3" i="22"/>
  <c r="AL39" i="22"/>
  <c r="AL27" i="22"/>
  <c r="AP3" i="22"/>
  <c r="AL38" i="22"/>
  <c r="AM38" i="22" s="1"/>
  <c r="AP4" i="37" s="1"/>
  <c r="AL26" i="22"/>
  <c r="AM26" i="22" s="1"/>
  <c r="AP7" i="41" s="1"/>
  <c r="AL4" i="22"/>
  <c r="AL17" i="22"/>
  <c r="AM17" i="22" s="1"/>
  <c r="AL5" i="22"/>
  <c r="AK20" i="27"/>
  <c r="AK8" i="27"/>
  <c r="W5" i="36" s="1"/>
  <c r="AK31" i="27"/>
  <c r="W6" i="40" s="1"/>
  <c r="AK19" i="27"/>
  <c r="AK7" i="27"/>
  <c r="AI29" i="27"/>
  <c r="AL29" i="27"/>
  <c r="AL17" i="27"/>
  <c r="AM17" i="27" s="1"/>
  <c r="AK21" i="27"/>
  <c r="W11" i="36" s="1"/>
  <c r="AK9" i="27"/>
  <c r="W8" i="40" s="1"/>
  <c r="AK4" i="27"/>
  <c r="AI28" i="27"/>
  <c r="AL28" i="27"/>
  <c r="AI16" i="27"/>
  <c r="AL16" i="27"/>
  <c r="AL27" i="27"/>
  <c r="AL15" i="27"/>
  <c r="AK5" i="27"/>
  <c r="W4" i="36" s="1"/>
  <c r="AI38" i="27"/>
  <c r="V8" i="36" s="1"/>
  <c r="AL38" i="27"/>
  <c r="AM38" i="27" s="1"/>
  <c r="AP8" i="36" s="1"/>
  <c r="AI26" i="27"/>
  <c r="AL26" i="27"/>
  <c r="AI14" i="27"/>
  <c r="V11" i="40" s="1"/>
  <c r="AL14" i="27"/>
  <c r="AI3" i="27"/>
  <c r="V10" i="36" s="1"/>
  <c r="AO3" i="27"/>
  <c r="AI15" i="27" s="1"/>
  <c r="AL3" i="27"/>
  <c r="AI30" i="27"/>
  <c r="AI36" i="27"/>
  <c r="AP3" i="27"/>
  <c r="AK33" i="27" s="1"/>
  <c r="AK25" i="27"/>
  <c r="W9" i="36" s="1"/>
  <c r="AK13" i="27"/>
  <c r="AI11" i="27"/>
  <c r="AK3" i="27"/>
  <c r="W10" i="36" s="1"/>
  <c r="AK24" i="27"/>
  <c r="AK23" i="27"/>
  <c r="AK34" i="27"/>
  <c r="AK22" i="27"/>
  <c r="W12" i="36" s="1"/>
  <c r="AK10" i="27"/>
  <c r="AK6" i="27"/>
  <c r="AL37" i="27"/>
  <c r="AL25" i="27"/>
  <c r="AL13" i="27"/>
  <c r="AL36" i="27"/>
  <c r="AM36" i="27" s="1"/>
  <c r="AL24" i="27"/>
  <c r="AL12" i="27"/>
  <c r="AL4" i="27"/>
  <c r="AL35" i="27"/>
  <c r="AL23" i="27"/>
  <c r="AL11" i="27"/>
  <c r="O44" i="28"/>
  <c r="O20" i="28"/>
  <c r="O43" i="28"/>
  <c r="O31" i="28"/>
  <c r="Y6" i="35" s="1"/>
  <c r="O19" i="28"/>
  <c r="R19" i="39" s="1"/>
  <c r="O7" i="28"/>
  <c r="O8" i="28"/>
  <c r="R4" i="39" s="1"/>
  <c r="O42" i="28"/>
  <c r="R22" i="39" s="1"/>
  <c r="O30" i="28"/>
  <c r="O18" i="28"/>
  <c r="R20" i="39" s="1"/>
  <c r="O6" i="28"/>
  <c r="O32" i="28"/>
  <c r="Y14" i="35" s="1"/>
  <c r="P3" i="28"/>
  <c r="Q3" i="28" s="1"/>
  <c r="O51" i="28"/>
  <c r="O39" i="28"/>
  <c r="R9" i="39" s="1"/>
  <c r="O27" i="28"/>
  <c r="O15" i="28"/>
  <c r="Y18" i="35" s="1"/>
  <c r="M49" i="28"/>
  <c r="X9" i="35" s="1"/>
  <c r="M37" i="28"/>
  <c r="X20" i="35" s="1"/>
  <c r="O4" i="28"/>
  <c r="O50" i="28"/>
  <c r="R8" i="39" s="1"/>
  <c r="O38" i="28"/>
  <c r="R18" i="39" s="1"/>
  <c r="O26" i="28"/>
  <c r="O14" i="28"/>
  <c r="M48" i="28"/>
  <c r="M12" i="28"/>
  <c r="AM16" i="39" a="1"/>
  <c r="AM16" i="39" s="1"/>
  <c r="O35" i="28"/>
  <c r="O23" i="28"/>
  <c r="R17" i="39" s="1"/>
  <c r="O11" i="28"/>
  <c r="O40" i="28"/>
  <c r="Y10" i="35" s="1"/>
  <c r="O28" i="28"/>
  <c r="O16" i="28"/>
  <c r="Y16" i="35" s="1"/>
  <c r="O37" i="28"/>
  <c r="Y20" i="35" s="1"/>
  <c r="O25" i="28"/>
  <c r="O13" i="28"/>
  <c r="R21" i="39" s="1"/>
  <c r="O45" i="28"/>
  <c r="O33" i="28"/>
  <c r="Y8" i="35" s="1"/>
  <c r="O21" i="28"/>
  <c r="M53" i="26"/>
  <c r="X17" i="9" s="1"/>
  <c r="P53" i="26"/>
  <c r="Q53" i="26" s="1"/>
  <c r="AQ17" i="9" s="1"/>
  <c r="P28" i="26"/>
  <c r="S3" i="26"/>
  <c r="M3" i="26" s="1"/>
  <c r="O47" i="26"/>
  <c r="M17" i="26"/>
  <c r="P17" i="26"/>
  <c r="P41" i="26"/>
  <c r="P29" i="26"/>
  <c r="O50" i="26"/>
  <c r="O14" i="26"/>
  <c r="Y19" i="9" s="1"/>
  <c r="P40" i="26"/>
  <c r="M40" i="26"/>
  <c r="Q17" i="38" s="1"/>
  <c r="AS15" i="9" a="1"/>
  <c r="AS15" i="9" s="1"/>
  <c r="BD21" i="9" s="1"/>
  <c r="AT15" i="9" a="1"/>
  <c r="AT15" i="9" s="1"/>
  <c r="BE21" i="9" s="1"/>
  <c r="P25" i="26"/>
  <c r="P24" i="26"/>
  <c r="Q24" i="26" s="1"/>
  <c r="P50" i="26"/>
  <c r="P38" i="26"/>
  <c r="P14" i="26"/>
  <c r="P23" i="26"/>
  <c r="O11" i="26"/>
  <c r="R10" i="38" s="1"/>
  <c r="P26" i="26"/>
  <c r="P37" i="26"/>
  <c r="O43" i="26"/>
  <c r="R20" i="38" s="1"/>
  <c r="P43" i="26"/>
  <c r="O31" i="26"/>
  <c r="Y5" i="9" s="1"/>
  <c r="P31" i="26"/>
  <c r="P19" i="26"/>
  <c r="P7" i="26"/>
  <c r="M45" i="26"/>
  <c r="X14" i="9" s="1"/>
  <c r="M21" i="26"/>
  <c r="Q11" i="38" s="1"/>
  <c r="M5" i="26"/>
  <c r="AT13" i="9" a="1"/>
  <c r="AT13" i="9" s="1"/>
  <c r="BE22" i="9" s="1"/>
  <c r="M52" i="26"/>
  <c r="X7" i="9" s="1"/>
  <c r="P33" i="26"/>
  <c r="O39" i="26"/>
  <c r="O27" i="26"/>
  <c r="O15" i="26"/>
  <c r="Y22" i="9" s="1"/>
  <c r="M51" i="26"/>
  <c r="X16" i="9" s="1"/>
  <c r="T3" i="26"/>
  <c r="O48" i="26" s="1"/>
  <c r="Y9" i="9" s="1"/>
  <c r="AL40" i="28"/>
  <c r="AM40" i="28" s="1"/>
  <c r="AL16" i="28"/>
  <c r="AL39" i="28"/>
  <c r="AM39" i="28" s="1"/>
  <c r="AL27" i="28"/>
  <c r="AM27" i="28" s="1"/>
  <c r="AL15" i="28"/>
  <c r="AL28" i="28"/>
  <c r="AL35" i="28"/>
  <c r="AL23" i="28"/>
  <c r="AL11" i="28"/>
  <c r="AL34" i="28"/>
  <c r="AL22" i="28"/>
  <c r="AM22" i="28" s="1"/>
  <c r="AL10" i="28"/>
  <c r="P5" i="28"/>
  <c r="Q5" i="28" s="1"/>
  <c r="U14" i="39" a="1"/>
  <c r="U14" i="39" s="1"/>
  <c r="AK38" i="28"/>
  <c r="AO3" i="28"/>
  <c r="AI3" i="28" s="1"/>
  <c r="X3" i="37" s="1"/>
  <c r="AL37" i="28"/>
  <c r="AM37" i="28" s="1"/>
  <c r="AL25" i="28"/>
  <c r="AL13" i="28"/>
  <c r="AP3" i="28"/>
  <c r="AK3" i="28"/>
  <c r="Y3" i="37" s="1"/>
  <c r="AI4" i="28"/>
  <c r="AL41" i="28"/>
  <c r="AM41" i="28" s="1"/>
  <c r="AQ7" i="41" s="1"/>
  <c r="AL29" i="28"/>
  <c r="AL17" i="28"/>
  <c r="AI11" i="26"/>
  <c r="AI23" i="26"/>
  <c r="AI35" i="26"/>
  <c r="X7" i="36" s="1"/>
  <c r="AI13" i="26"/>
  <c r="AI25" i="26"/>
  <c r="AI26" i="26"/>
  <c r="AI27" i="26"/>
  <c r="AI16" i="26"/>
  <c r="X11" i="36" s="1"/>
  <c r="AI28" i="26"/>
  <c r="AI17" i="26"/>
  <c r="X12" i="36" s="1"/>
  <c r="AI29" i="26"/>
  <c r="X6" i="40" s="1"/>
  <c r="AI18" i="26"/>
  <c r="X5" i="36" s="1"/>
  <c r="AI7" i="26"/>
  <c r="X4" i="36" s="1"/>
  <c r="AI19" i="26"/>
  <c r="AI31" i="26"/>
  <c r="AI20" i="26"/>
  <c r="AI32" i="26"/>
  <c r="AI10" i="26"/>
  <c r="X11" i="40" s="1"/>
  <c r="AI22" i="26"/>
  <c r="X8" i="40" s="1"/>
  <c r="AI34" i="26"/>
  <c r="AI24" i="26"/>
  <c r="AI12" i="26"/>
  <c r="AK9" i="26"/>
  <c r="AK21" i="26"/>
  <c r="Y9" i="36" s="1"/>
  <c r="AK33" i="26"/>
  <c r="AK11" i="26"/>
  <c r="AK23" i="26"/>
  <c r="AK35" i="26"/>
  <c r="Y7" i="36" s="1"/>
  <c r="AK12" i="26"/>
  <c r="AK24" i="26"/>
  <c r="AK13" i="26"/>
  <c r="AK25" i="26"/>
  <c r="AK14" i="26"/>
  <c r="AK26" i="26"/>
  <c r="AK15" i="26"/>
  <c r="AK27" i="26"/>
  <c r="AK16" i="26"/>
  <c r="Y11" i="36" s="1"/>
  <c r="AK28" i="26"/>
  <c r="AK18" i="26"/>
  <c r="Y5" i="36" s="1"/>
  <c r="AI33" i="26"/>
  <c r="AI9" i="26"/>
  <c r="AK34" i="26"/>
  <c r="AK10" i="26"/>
  <c r="Y11" i="40" s="1"/>
  <c r="AI8" i="26"/>
  <c r="AL34" i="26"/>
  <c r="AL22" i="26"/>
  <c r="AM22" i="26" s="1"/>
  <c r="AQ8" i="40" s="1"/>
  <c r="AL10" i="26"/>
  <c r="AL33" i="26"/>
  <c r="AL21" i="26"/>
  <c r="AM21" i="26" s="1"/>
  <c r="AQ9" i="36" s="1"/>
  <c r="AK29" i="26"/>
  <c r="Y6" i="40" s="1"/>
  <c r="AK17" i="26"/>
  <c r="Y12" i="36" s="1"/>
  <c r="AI6" i="26"/>
  <c r="AL3" i="26"/>
  <c r="AK6" i="26"/>
  <c r="AL32" i="26"/>
  <c r="AL20" i="26"/>
  <c r="AL8" i="26"/>
  <c r="AL31" i="26"/>
  <c r="AL19" i="26"/>
  <c r="AL7" i="26"/>
  <c r="AI4" i="26"/>
  <c r="X6" i="36" s="1"/>
  <c r="AK4" i="26"/>
  <c r="Y6" i="36" s="1"/>
  <c r="AK5" i="26"/>
  <c r="AK3" i="26"/>
  <c r="AL38" i="26"/>
  <c r="AM38" i="26" s="1"/>
  <c r="AQ8" i="36" s="1"/>
  <c r="AI3" i="26"/>
  <c r="AL5" i="26"/>
  <c r="AL36" i="26"/>
  <c r="AM36" i="26" s="1"/>
  <c r="AQ10" i="36" s="1"/>
  <c r="AL24" i="26"/>
  <c r="AL12" i="26"/>
  <c r="AT4" i="40" a="1"/>
  <c r="AT4" i="40" s="1"/>
  <c r="BE8" i="40" s="1"/>
  <c r="AT7" i="40" a="1"/>
  <c r="AT7" i="40" s="1"/>
  <c r="AT10" i="40" a="1"/>
  <c r="AT10" i="40" s="1"/>
  <c r="Q4" i="40" a="1"/>
  <c r="Q4" i="40" s="1"/>
  <c r="BA8" i="40" s="1"/>
  <c r="Q7" i="40" a="1"/>
  <c r="Q7" i="40" s="1"/>
  <c r="BA10" i="40" s="1"/>
  <c r="AK9" i="40" a="1"/>
  <c r="AK9" i="40" s="1"/>
  <c r="BC6" i="40" s="1"/>
  <c r="Q10" i="40" a="1"/>
  <c r="Q10" i="40" s="1"/>
  <c r="BA11" i="40" s="1"/>
  <c r="AS3" i="40" a="1"/>
  <c r="AS3" i="40" s="1"/>
  <c r="AK4" i="40" a="1"/>
  <c r="AK4" i="40" s="1"/>
  <c r="BC8" i="40" s="1"/>
  <c r="Q5" i="40" a="1"/>
  <c r="Q5" i="40" s="1"/>
  <c r="BA9" i="40" s="1"/>
  <c r="J7" i="40" a="1"/>
  <c r="J7" i="40" s="1"/>
  <c r="AB5" i="40" a="1"/>
  <c r="AB5" i="40" s="1"/>
  <c r="AB7" i="40" a="1"/>
  <c r="AB7" i="40" s="1"/>
  <c r="AB10" i="40" a="1"/>
  <c r="AB10" i="40" s="1"/>
  <c r="AS7" i="40" a="1"/>
  <c r="AS7" i="40" s="1"/>
  <c r="AT9" i="40" a="1"/>
  <c r="AT9" i="40" s="1"/>
  <c r="AJ3" i="40" a="1"/>
  <c r="AJ3" i="40" s="1"/>
  <c r="AK10" i="40" a="1"/>
  <c r="AK10" i="40" s="1"/>
  <c r="BC11" i="40" s="1"/>
  <c r="AB4" i="40" a="1"/>
  <c r="AB4" i="40" s="1"/>
  <c r="AZ8" i="40" s="1"/>
  <c r="AB3" i="40" a="1"/>
  <c r="AB3" i="40" s="1"/>
  <c r="J4" i="40" a="1"/>
  <c r="J4" i="40" s="1"/>
  <c r="AY8" i="40" s="1"/>
  <c r="J9" i="40" a="1"/>
  <c r="J9" i="40" s="1"/>
  <c r="J10" i="40" a="1"/>
  <c r="J10" i="40" s="1"/>
  <c r="AY11" i="40" s="1"/>
  <c r="J8" i="41" a="1"/>
  <c r="J8" i="41" s="1"/>
  <c r="AY4" i="41" s="1"/>
  <c r="Q4" i="41" a="1"/>
  <c r="Q4" i="41" s="1"/>
  <c r="BA8" i="41" s="1"/>
  <c r="J4" i="41" a="1"/>
  <c r="J4" i="41" s="1"/>
  <c r="AY8" i="41" s="1"/>
  <c r="AK7" i="41" a="1"/>
  <c r="AK7" i="41" s="1"/>
  <c r="AK4" i="41" a="1"/>
  <c r="AK4" i="41" s="1"/>
  <c r="AB7" i="41" a="1"/>
  <c r="AB7" i="41" s="1"/>
  <c r="AB4" i="41" a="1"/>
  <c r="AB4" i="41" s="1"/>
  <c r="AJ4" i="41" a="1"/>
  <c r="AJ4" i="41" s="1"/>
  <c r="J7" i="41" a="1"/>
  <c r="J7" i="41" s="1"/>
  <c r="AY7" i="41" s="1"/>
  <c r="AD15" i="38" a="1"/>
  <c r="AD15" i="38" s="1"/>
  <c r="AM5" i="38" a="1"/>
  <c r="AM5" i="38" s="1"/>
  <c r="AD16" i="38" a="1"/>
  <c r="AD16" i="38" s="1"/>
  <c r="AL13" i="38" a="1"/>
  <c r="AL13" i="38" s="1"/>
  <c r="AM16" i="38" a="1"/>
  <c r="AM16" i="38" s="1"/>
  <c r="AC18" i="38" a="1"/>
  <c r="AC18" i="38" s="1"/>
  <c r="AD13" i="38" a="1"/>
  <c r="AD13" i="38" s="1"/>
  <c r="U13" i="38" a="1"/>
  <c r="U13" i="38" s="1"/>
  <c r="AC16" i="38" a="1"/>
  <c r="AC16" i="38" s="1"/>
  <c r="U12" i="38" a="1"/>
  <c r="U12" i="38" s="1"/>
  <c r="AL16" i="38" a="1"/>
  <c r="AL16" i="38" s="1"/>
  <c r="AD5" i="38" a="1"/>
  <c r="AD5" i="38" s="1"/>
  <c r="AL15" i="38" a="1"/>
  <c r="AL15" i="38" s="1"/>
  <c r="AD18" i="38" a="1"/>
  <c r="AD18" i="38" s="1"/>
  <c r="AM13" i="38" a="1"/>
  <c r="AM13" i="38" s="1"/>
  <c r="AM12" i="38" a="1"/>
  <c r="AM12" i="38" s="1"/>
  <c r="U5" i="38" a="1"/>
  <c r="U5" i="38" s="1"/>
  <c r="AC5" i="38" a="1"/>
  <c r="AC5" i="38" s="1"/>
  <c r="U15" i="38" a="1"/>
  <c r="U15" i="38" s="1"/>
  <c r="J16" i="38" a="1"/>
  <c r="J16" i="38" s="1"/>
  <c r="J15" i="38" a="1"/>
  <c r="J15" i="38" s="1"/>
  <c r="J13" i="38" a="1"/>
  <c r="J13" i="38" s="1"/>
  <c r="AR18" i="38" s="1"/>
  <c r="J5" i="38" a="1"/>
  <c r="J5" i="38" s="1"/>
  <c r="J12" i="38" a="1"/>
  <c r="J12" i="38" s="1"/>
  <c r="AR17" i="38" s="1"/>
  <c r="J10" i="38" a="1"/>
  <c r="J10" i="38" s="1"/>
  <c r="AL16" i="39" a="1"/>
  <c r="AL16" i="39" s="1"/>
  <c r="AM14" i="39" a="1"/>
  <c r="AM14" i="39" s="1"/>
  <c r="AD12" i="39" a="1"/>
  <c r="AD12" i="39" s="1"/>
  <c r="AC3" i="39" a="1"/>
  <c r="AC3" i="39" s="1"/>
  <c r="AC10" i="39" a="1"/>
  <c r="AC10" i="39" s="1"/>
  <c r="AC15" i="39" a="1"/>
  <c r="AC15" i="39" s="1"/>
  <c r="AT18" i="39" s="1"/>
  <c r="U16" i="39" a="1"/>
  <c r="U16" i="39" s="1"/>
  <c r="U10" i="39" a="1"/>
  <c r="U10" i="39" s="1"/>
  <c r="U3" i="39" a="1"/>
  <c r="U3" i="39" s="1"/>
  <c r="U15" i="39" a="1"/>
  <c r="U15" i="39" s="1"/>
  <c r="U13" i="39" a="1"/>
  <c r="U13" i="39" s="1"/>
  <c r="U11" i="39" a="1"/>
  <c r="U11" i="39" s="1"/>
  <c r="J11" i="39" a="1"/>
  <c r="J11" i="39" s="1"/>
  <c r="J3" i="39" a="1"/>
  <c r="J3" i="39" s="1"/>
  <c r="J15" i="39" a="1"/>
  <c r="J15" i="39" s="1"/>
  <c r="J8" i="39" a="1"/>
  <c r="J8" i="39" s="1"/>
  <c r="AS4" i="41" a="1"/>
  <c r="AS4" i="41" s="1"/>
  <c r="AT4" i="41" a="1"/>
  <c r="AT4" i="41" s="1"/>
  <c r="AK5" i="41" a="1"/>
  <c r="AK5" i="41" s="1"/>
  <c r="BC3" i="41" s="1"/>
  <c r="AJ5" i="41" a="1"/>
  <c r="AJ5" i="41" s="1"/>
  <c r="BB3" i="41" s="1"/>
  <c r="AJ8" i="41" a="1"/>
  <c r="AJ8" i="41" s="1"/>
  <c r="AJ7" i="41" a="1"/>
  <c r="AJ7" i="41" s="1"/>
  <c r="AS4" i="40" a="1"/>
  <c r="AS4" i="40" s="1"/>
  <c r="BD8" i="40" s="1"/>
  <c r="AK7" i="40" a="1"/>
  <c r="AK7" i="40" s="1"/>
  <c r="AJ7" i="40" a="1"/>
  <c r="AJ7" i="40" s="1"/>
  <c r="AK3" i="40" a="1"/>
  <c r="AK3" i="40" s="1"/>
  <c r="J3" i="40" a="1"/>
  <c r="J3" i="40" s="1"/>
  <c r="AS9" i="40" a="1"/>
  <c r="AS9" i="40" s="1"/>
  <c r="AJ10" i="40" a="1"/>
  <c r="AJ10" i="40" s="1"/>
  <c r="AJ9" i="40" a="1"/>
  <c r="AJ9" i="40" s="1"/>
  <c r="AJ4" i="40" a="1"/>
  <c r="AJ4" i="40" s="1"/>
  <c r="BB8" i="40" s="1"/>
  <c r="AS10" i="40" a="1"/>
  <c r="AS10" i="40" s="1"/>
  <c r="AJ11" i="40" a="1"/>
  <c r="AJ11" i="40" s="1"/>
  <c r="AT3" i="40" a="1"/>
  <c r="AT3" i="40" s="1"/>
  <c r="BE7" i="40" s="1"/>
  <c r="AM10" i="39" a="1"/>
  <c r="AM10" i="39" s="1"/>
  <c r="AL10" i="39" a="1"/>
  <c r="AL10" i="39" s="1"/>
  <c r="AM8" i="39" a="1"/>
  <c r="AM8" i="39" s="1"/>
  <c r="AL8" i="39" a="1"/>
  <c r="AL8" i="39" s="1"/>
  <c r="AD14" i="39" a="1"/>
  <c r="AD14" i="39" s="1"/>
  <c r="AC14" i="39" a="1"/>
  <c r="AC14" i="39" s="1"/>
  <c r="AM13" i="39" a="1"/>
  <c r="AM13" i="39" s="1"/>
  <c r="AL13" i="39" a="1"/>
  <c r="AL13" i="39" s="1"/>
  <c r="AM15" i="39" a="1"/>
  <c r="AM15" i="39" s="1"/>
  <c r="AL15" i="39" a="1"/>
  <c r="AL15" i="39" s="1"/>
  <c r="U12" i="39" a="1"/>
  <c r="U12" i="39" s="1"/>
  <c r="J10" i="39" a="1"/>
  <c r="J10" i="39" s="1"/>
  <c r="AC11" i="39" a="1"/>
  <c r="AC11" i="39" s="1"/>
  <c r="AD11" i="39" a="1"/>
  <c r="AD11" i="39" s="1"/>
  <c r="AM12" i="39" a="1"/>
  <c r="AM12" i="39" s="1"/>
  <c r="AL12" i="39" a="1"/>
  <c r="AL12" i="39" s="1"/>
  <c r="AV20" i="39" s="1"/>
  <c r="AL3" i="39" a="1"/>
  <c r="AL3" i="39" s="1"/>
  <c r="J12" i="39" a="1"/>
  <c r="J12" i="39" s="1"/>
  <c r="AD13" i="39" a="1"/>
  <c r="AD13" i="39" s="1"/>
  <c r="AC13" i="39" a="1"/>
  <c r="AC13" i="39" s="1"/>
  <c r="AC16" i="39" a="1"/>
  <c r="AC16" i="39" s="1"/>
  <c r="AC8" i="39" a="1"/>
  <c r="AC8" i="39" s="1"/>
  <c r="AL5" i="38" a="1"/>
  <c r="AL5" i="38" s="1"/>
  <c r="AD10" i="38" a="1"/>
  <c r="AD10" i="38" s="1"/>
  <c r="AC10" i="38" a="1"/>
  <c r="AC10" i="38" s="1"/>
  <c r="AC15" i="38" a="1"/>
  <c r="AC15" i="38" s="1"/>
  <c r="AC12" i="38" a="1"/>
  <c r="AC12" i="38" s="1"/>
  <c r="AD12" i="38" a="1"/>
  <c r="AD12" i="38" s="1"/>
  <c r="U16" i="38" a="1"/>
  <c r="U16" i="38" s="1"/>
  <c r="AS12" i="38" s="1"/>
  <c r="AC13" i="38" a="1"/>
  <c r="AC13" i="38" s="1"/>
  <c r="AL25" i="12"/>
  <c r="AL12" i="12"/>
  <c r="AL24" i="12"/>
  <c r="AM24" i="12" s="1"/>
  <c r="AL23" i="12"/>
  <c r="AL11" i="12"/>
  <c r="AL22" i="12"/>
  <c r="AL10" i="12"/>
  <c r="AL21" i="12"/>
  <c r="AM21" i="12" s="1"/>
  <c r="AL9" i="12"/>
  <c r="AL20" i="12"/>
  <c r="AM20" i="12" s="1"/>
  <c r="AL8" i="12"/>
  <c r="AM8" i="12" s="1"/>
  <c r="AG13" i="37" s="1"/>
  <c r="AL28" i="12"/>
  <c r="AI24" i="12"/>
  <c r="AL17" i="12"/>
  <c r="AL6" i="12"/>
  <c r="AM6" i="12" s="1"/>
  <c r="AG14" i="37" s="1"/>
  <c r="AL30" i="12"/>
  <c r="AM30" i="12" s="1"/>
  <c r="AG7" i="37" s="1"/>
  <c r="AL26" i="12"/>
  <c r="AL29" i="12"/>
  <c r="AM29" i="12" s="1"/>
  <c r="AG15" i="37" s="1"/>
  <c r="AL15" i="12"/>
  <c r="AM15" i="12" s="1"/>
  <c r="AL13" i="12"/>
  <c r="AM13" i="12" s="1"/>
  <c r="AL16" i="12"/>
  <c r="AM16" i="12" s="1"/>
  <c r="AL27" i="12"/>
  <c r="AM27" i="12" s="1"/>
  <c r="AL14" i="12"/>
  <c r="AM14" i="12" s="1"/>
  <c r="AG3" i="37" s="1"/>
  <c r="AL3" i="12"/>
  <c r="AM3" i="12" s="1"/>
  <c r="AL18" i="13"/>
  <c r="AL19" i="13"/>
  <c r="AL17" i="13"/>
  <c r="AL28" i="13"/>
  <c r="AM28" i="13" s="1"/>
  <c r="AH10" i="37" s="1"/>
  <c r="AL7" i="13"/>
  <c r="AL20" i="13"/>
  <c r="AL3" i="13"/>
  <c r="AL5" i="13"/>
  <c r="AI30" i="13"/>
  <c r="AL15" i="13"/>
  <c r="F10" i="37"/>
  <c r="G10" i="37"/>
  <c r="G4" i="37"/>
  <c r="F4" i="37"/>
  <c r="AL26" i="13"/>
  <c r="AM26" i="13" s="1"/>
  <c r="AH3" i="37" s="1"/>
  <c r="F14" i="37"/>
  <c r="AL11" i="13"/>
  <c r="AM11" i="13" s="1"/>
  <c r="AL9" i="13"/>
  <c r="AM9" i="13" s="1"/>
  <c r="AL25" i="13"/>
  <c r="AM25" i="13" s="1"/>
  <c r="AH9" i="37" s="1"/>
  <c r="AL29" i="13"/>
  <c r="AM29" i="13" s="1"/>
  <c r="F11" i="37"/>
  <c r="AP3" i="13"/>
  <c r="AK24" i="13" s="1"/>
  <c r="AO3" i="13"/>
  <c r="AI6" i="13" s="1"/>
  <c r="AK6" i="13"/>
  <c r="AP3" i="12"/>
  <c r="AK6" i="12" s="1"/>
  <c r="E14" i="37" s="1"/>
  <c r="AO3" i="12"/>
  <c r="AI22" i="12" s="1"/>
  <c r="D11" i="37" s="1"/>
  <c r="AL4" i="12"/>
  <c r="AK14" i="14"/>
  <c r="AK17" i="14"/>
  <c r="AK30" i="14"/>
  <c r="AK8" i="14"/>
  <c r="AK20" i="14"/>
  <c r="AK25" i="14"/>
  <c r="AK15" i="14"/>
  <c r="AK28" i="14"/>
  <c r="AK31" i="14"/>
  <c r="AK9" i="14"/>
  <c r="AK13" i="14"/>
  <c r="AK26" i="14"/>
  <c r="AK16" i="14"/>
  <c r="AK18" i="14"/>
  <c r="AK7" i="14"/>
  <c r="AK19" i="14"/>
  <c r="AK32" i="14"/>
  <c r="AK21" i="14"/>
  <c r="AI30" i="14"/>
  <c r="AK22" i="14"/>
  <c r="AK10" i="14"/>
  <c r="AI28" i="14"/>
  <c r="AL18" i="14"/>
  <c r="AM18" i="14" s="1"/>
  <c r="AK5" i="14"/>
  <c r="AL3" i="14"/>
  <c r="AO3" i="14"/>
  <c r="AL22" i="14"/>
  <c r="AK24" i="14"/>
  <c r="AK12" i="14"/>
  <c r="AK4" i="14"/>
  <c r="AK3" i="14"/>
  <c r="AK6" i="14"/>
  <c r="AK23" i="14"/>
  <c r="AK11" i="14"/>
  <c r="AL10" i="14"/>
  <c r="AI17" i="11"/>
  <c r="AI28" i="11"/>
  <c r="AI16" i="11"/>
  <c r="D11" i="36" s="1"/>
  <c r="AK24" i="11"/>
  <c r="E7" i="36" s="1"/>
  <c r="AK12" i="11"/>
  <c r="AK11" i="11"/>
  <c r="AL24" i="11"/>
  <c r="AL11" i="11"/>
  <c r="AL12" i="11"/>
  <c r="AL10" i="11"/>
  <c r="AB5" i="37" a="1"/>
  <c r="AB5" i="37" s="1"/>
  <c r="Q6" i="36" a="1"/>
  <c r="Q6" i="36" s="1"/>
  <c r="AT3" i="36" a="1"/>
  <c r="AT3" i="36" s="1"/>
  <c r="AB3" i="36" a="1"/>
  <c r="AB3" i="36" s="1"/>
  <c r="AS3" i="36" a="1"/>
  <c r="AS3" i="36" s="1"/>
  <c r="Q21" i="35" a="1"/>
  <c r="Q21" i="35" s="1"/>
  <c r="BA21" i="35" s="1"/>
  <c r="Q13" i="35" a="1"/>
  <c r="Q13" i="35" s="1"/>
  <c r="BA18" i="35" s="1"/>
  <c r="Q19" i="35" a="1"/>
  <c r="Q19" i="35" s="1"/>
  <c r="Q15" i="35" a="1"/>
  <c r="Q15" i="35" s="1"/>
  <c r="BA19" i="35" s="1"/>
  <c r="Q11" i="35" a="1"/>
  <c r="Q11" i="35" s="1"/>
  <c r="BA17" i="35" s="1"/>
  <c r="J5" i="35" a="1"/>
  <c r="J5" i="35" s="1"/>
  <c r="AT7" i="35" a="1"/>
  <c r="AT7" i="35" s="1"/>
  <c r="Q10" i="35" a="1"/>
  <c r="Q10" i="35" s="1"/>
  <c r="BA9" i="35" s="1"/>
  <c r="AS5" i="35" a="1"/>
  <c r="AS5" i="35" s="1"/>
  <c r="M22" i="12"/>
  <c r="P4" i="12"/>
  <c r="Q4" i="12" s="1"/>
  <c r="P15" i="12"/>
  <c r="Q15" i="12" s="1"/>
  <c r="M38" i="12"/>
  <c r="P23" i="12"/>
  <c r="Q23" i="12" s="1"/>
  <c r="P40" i="12"/>
  <c r="Q40" i="12" s="1"/>
  <c r="P10" i="12"/>
  <c r="P30" i="12"/>
  <c r="M17" i="13"/>
  <c r="O36" i="13"/>
  <c r="O24" i="13"/>
  <c r="O12" i="13"/>
  <c r="M28" i="13"/>
  <c r="O22" i="13"/>
  <c r="O10" i="13"/>
  <c r="M14" i="13"/>
  <c r="O33" i="13"/>
  <c r="M13" i="13"/>
  <c r="O32" i="13"/>
  <c r="O20" i="13"/>
  <c r="O8" i="13"/>
  <c r="M48" i="13"/>
  <c r="M24" i="13"/>
  <c r="M47" i="13"/>
  <c r="M35" i="13"/>
  <c r="M23" i="13"/>
  <c r="M11" i="13"/>
  <c r="O30" i="13"/>
  <c r="O18" i="13"/>
  <c r="O5" i="13"/>
  <c r="P17" i="13"/>
  <c r="M41" i="13"/>
  <c r="M29" i="13"/>
  <c r="P28" i="13"/>
  <c r="M40" i="13"/>
  <c r="P39" i="13"/>
  <c r="Q39" i="13" s="1"/>
  <c r="P15" i="13"/>
  <c r="M27" i="13"/>
  <c r="P14" i="13"/>
  <c r="M38" i="13"/>
  <c r="P37" i="13"/>
  <c r="P13" i="13"/>
  <c r="O4" i="13"/>
  <c r="P24" i="13"/>
  <c r="M36" i="13"/>
  <c r="M12" i="13"/>
  <c r="P47" i="13"/>
  <c r="Q47" i="13" s="1"/>
  <c r="P35" i="13"/>
  <c r="P23" i="13"/>
  <c r="P11" i="13"/>
  <c r="T3" i="13"/>
  <c r="P26" i="13"/>
  <c r="Q26" i="13" s="1"/>
  <c r="P49" i="13"/>
  <c r="Q49" i="13" s="1"/>
  <c r="P25" i="13"/>
  <c r="P48" i="13"/>
  <c r="Q48" i="13" s="1"/>
  <c r="P46" i="13"/>
  <c r="Q46" i="13" s="1"/>
  <c r="P34" i="13"/>
  <c r="P22" i="13"/>
  <c r="Q22" i="13" s="1"/>
  <c r="P10" i="13"/>
  <c r="O29" i="12"/>
  <c r="M33" i="12"/>
  <c r="D10" i="35" s="1"/>
  <c r="J10" i="35" s="1" a="1"/>
  <c r="J10" i="35" s="1"/>
  <c r="O11" i="12"/>
  <c r="M19" i="12"/>
  <c r="P16" i="12"/>
  <c r="Q16" i="12" s="1"/>
  <c r="P8" i="12"/>
  <c r="P45" i="12"/>
  <c r="Q45" i="12" s="1"/>
  <c r="P33" i="12"/>
  <c r="P44" i="12"/>
  <c r="Q44" i="12" s="1"/>
  <c r="P14" i="12"/>
  <c r="Q14" i="12" s="1"/>
  <c r="P7" i="12"/>
  <c r="P43" i="12"/>
  <c r="Q43" i="12" s="1"/>
  <c r="P37" i="12"/>
  <c r="Q37" i="12" s="1"/>
  <c r="P6" i="12"/>
  <c r="O23" i="12"/>
  <c r="O40" i="12"/>
  <c r="O10" i="12"/>
  <c r="O30" i="12"/>
  <c r="P20" i="12"/>
  <c r="Q20" i="12" s="1"/>
  <c r="S3" i="12"/>
  <c r="M12" i="12" s="1"/>
  <c r="P49" i="12"/>
  <c r="Q49" i="12" s="1"/>
  <c r="P42" i="12"/>
  <c r="Q42" i="12" s="1"/>
  <c r="P13" i="12"/>
  <c r="P32" i="12"/>
  <c r="T3" i="12"/>
  <c r="O36" i="12" s="1"/>
  <c r="O26" i="12"/>
  <c r="P24" i="12"/>
  <c r="Q24" i="12" s="1"/>
  <c r="P19" i="12"/>
  <c r="Q19" i="12" s="1"/>
  <c r="P12" i="12"/>
  <c r="P31" i="12"/>
  <c r="P48" i="12"/>
  <c r="Q48" i="12" s="1"/>
  <c r="P41" i="12"/>
  <c r="Q41" i="12" s="1"/>
  <c r="P11" i="12"/>
  <c r="P5" i="12"/>
  <c r="AS11" i="35" a="1"/>
  <c r="AS11" i="35" s="1"/>
  <c r="BD17" i="35" s="1"/>
  <c r="AB13" i="35" a="1"/>
  <c r="AB13" i="35" s="1"/>
  <c r="BA20" i="35"/>
  <c r="J17" i="35" a="1"/>
  <c r="J17" i="35" s="1"/>
  <c r="AS7" i="35" a="1"/>
  <c r="AS7" i="35" s="1"/>
  <c r="AB7" i="35" a="1"/>
  <c r="AB7" i="35" s="1"/>
  <c r="AB11" i="35" a="1"/>
  <c r="AB11" i="35" s="1"/>
  <c r="AB3" i="35" a="1"/>
  <c r="AB3" i="35" s="1"/>
  <c r="AT13" i="35" a="1"/>
  <c r="AT13" i="35" s="1"/>
  <c r="BE18" i="35" s="1"/>
  <c r="AB21" i="35" a="1"/>
  <c r="AB21" i="35" s="1"/>
  <c r="AT11" i="35" a="1"/>
  <c r="AT11" i="35" s="1"/>
  <c r="AJ13" i="35" a="1"/>
  <c r="AJ13" i="35" s="1"/>
  <c r="J7" i="35" a="1"/>
  <c r="J7" i="35" s="1"/>
  <c r="AY16" i="35" s="1"/>
  <c r="J21" i="35" a="1"/>
  <c r="J21" i="35" s="1"/>
  <c r="AY21" i="35" s="1"/>
  <c r="E21" i="9"/>
  <c r="AK13" i="35" a="1"/>
  <c r="AK13" i="35" s="1"/>
  <c r="E19" i="9"/>
  <c r="E5" i="9"/>
  <c r="AK15" i="35" a="1"/>
  <c r="AK15" i="35" s="1"/>
  <c r="AJ6" i="35" a="1"/>
  <c r="AJ6" i="35" s="1"/>
  <c r="AK13" i="9" a="1"/>
  <c r="AK13" i="9" s="1"/>
  <c r="BC22" i="9" s="1"/>
  <c r="P54" i="11"/>
  <c r="Q54" i="11" s="1"/>
  <c r="AK15" i="9" a="1"/>
  <c r="AK15" i="9" s="1"/>
  <c r="BC21" i="9" s="1"/>
  <c r="J13" i="35" a="1"/>
  <c r="J13" i="35" s="1"/>
  <c r="J3" i="35" a="1"/>
  <c r="J3" i="35" s="1"/>
  <c r="AY14" i="35" s="1"/>
  <c r="J11" i="35" a="1"/>
  <c r="J11" i="35" s="1"/>
  <c r="Q5" i="37" a="1"/>
  <c r="Q5" i="37" s="1"/>
  <c r="AJ15" i="35" a="1"/>
  <c r="AJ15" i="35" s="1"/>
  <c r="AS21" i="35" a="1"/>
  <c r="AS21" i="35" s="1"/>
  <c r="AT21" i="35" a="1"/>
  <c r="AT21" i="35" s="1"/>
  <c r="AT5" i="35" a="1"/>
  <c r="AT5" i="35" s="1"/>
  <c r="AS17" i="35" a="1"/>
  <c r="AS17" i="35" s="1"/>
  <c r="AT17" i="35" a="1"/>
  <c r="AT17" i="35" s="1"/>
  <c r="AT3" i="35" a="1"/>
  <c r="AT3" i="35" s="1"/>
  <c r="AS3" i="35" a="1"/>
  <c r="AS3" i="35" s="1"/>
  <c r="BD14" i="35" s="1"/>
  <c r="AB17" i="35" a="1"/>
  <c r="AB17" i="35" s="1"/>
  <c r="AB15" i="35" a="1"/>
  <c r="AB15" i="35" s="1"/>
  <c r="J15" i="35" a="1"/>
  <c r="J15" i="35" s="1"/>
  <c r="AS15" i="35" a="1"/>
  <c r="AS15" i="35" s="1"/>
  <c r="BD19" i="35" s="1"/>
  <c r="AT15" i="35" a="1"/>
  <c r="AT15" i="35" s="1"/>
  <c r="AB5" i="35" a="1"/>
  <c r="AB5" i="35" s="1"/>
  <c r="AS13" i="35" a="1"/>
  <c r="AS13" i="35" s="1"/>
  <c r="J21" i="9" a="1"/>
  <c r="J21" i="9" s="1"/>
  <c r="AY23" i="9" s="1"/>
  <c r="P27" i="14"/>
  <c r="Q27" i="14" s="1"/>
  <c r="M52" i="14"/>
  <c r="P52" i="14"/>
  <c r="Q52" i="14" s="1"/>
  <c r="P40" i="14"/>
  <c r="P28" i="14"/>
  <c r="P16" i="14"/>
  <c r="P15" i="14"/>
  <c r="M50" i="14"/>
  <c r="P50" i="14"/>
  <c r="Q50" i="14" s="1"/>
  <c r="P38" i="14"/>
  <c r="P14" i="14"/>
  <c r="P29" i="14"/>
  <c r="Q29" i="14" s="1"/>
  <c r="O43" i="14"/>
  <c r="G20" i="9" s="1"/>
  <c r="O19" i="14"/>
  <c r="O7" i="14"/>
  <c r="G10" i="9" s="1"/>
  <c r="M49" i="14"/>
  <c r="F18" i="9" s="1"/>
  <c r="P49" i="14"/>
  <c r="Q49" i="14" s="1"/>
  <c r="AH10" i="9" s="1"/>
  <c r="P37" i="14"/>
  <c r="Q37" i="14" s="1"/>
  <c r="P25" i="14"/>
  <c r="P13" i="14"/>
  <c r="O54" i="14"/>
  <c r="O42" i="14"/>
  <c r="O30" i="14"/>
  <c r="O18" i="14"/>
  <c r="O6" i="14"/>
  <c r="G7" i="9" s="1"/>
  <c r="P53" i="14"/>
  <c r="Q53" i="14" s="1"/>
  <c r="AH16" i="9" s="1"/>
  <c r="O41" i="14"/>
  <c r="P19" i="14"/>
  <c r="O52" i="14"/>
  <c r="O40" i="14"/>
  <c r="O28" i="14"/>
  <c r="O16" i="14"/>
  <c r="G15" i="9" s="1"/>
  <c r="P18" i="14"/>
  <c r="O51" i="14"/>
  <c r="O39" i="14"/>
  <c r="G19" i="9" s="1"/>
  <c r="O15" i="14"/>
  <c r="P39" i="14"/>
  <c r="O31" i="14"/>
  <c r="P43" i="14"/>
  <c r="P17" i="14"/>
  <c r="M51" i="14"/>
  <c r="P51" i="14"/>
  <c r="Q51" i="14" s="1"/>
  <c r="P26" i="14"/>
  <c r="P42" i="14"/>
  <c r="O4" i="14"/>
  <c r="P41" i="14"/>
  <c r="J23" i="9" a="1"/>
  <c r="J23" i="9" s="1"/>
  <c r="S3" i="14"/>
  <c r="T3" i="14"/>
  <c r="O5" i="14"/>
  <c r="G6" i="9" s="1"/>
  <c r="P9" i="11"/>
  <c r="Q9" i="11" s="1"/>
  <c r="M9" i="11"/>
  <c r="P35" i="11"/>
  <c r="O42" i="11"/>
  <c r="P47" i="11"/>
  <c r="Q47" i="11" s="1"/>
  <c r="O47" i="11"/>
  <c r="P40" i="11"/>
  <c r="O46" i="11"/>
  <c r="P46" i="11"/>
  <c r="Q46" i="11" s="1"/>
  <c r="P56" i="11"/>
  <c r="P31" i="11"/>
  <c r="P16" i="11"/>
  <c r="Q16" i="11" s="1"/>
  <c r="P6" i="11"/>
  <c r="P19" i="11"/>
  <c r="P8" i="11"/>
  <c r="Q8" i="11" s="1"/>
  <c r="M8" i="11"/>
  <c r="P12" i="11"/>
  <c r="P28" i="11"/>
  <c r="Q28" i="11" s="1"/>
  <c r="M28" i="11"/>
  <c r="P38" i="11"/>
  <c r="O12" i="11"/>
  <c r="O35" i="11"/>
  <c r="O26" i="11"/>
  <c r="P55" i="11"/>
  <c r="Q55" i="11" s="1"/>
  <c r="P42" i="11"/>
  <c r="P15" i="11"/>
  <c r="Q15" i="11" s="1"/>
  <c r="P5" i="11"/>
  <c r="P26" i="11"/>
  <c r="Q26" i="11" s="1"/>
  <c r="P48" i="11"/>
  <c r="P11" i="11"/>
  <c r="Q11" i="11" s="1"/>
  <c r="P23" i="11"/>
  <c r="P3" i="11"/>
  <c r="P30" i="11"/>
  <c r="Q30" i="11" s="1"/>
  <c r="P50" i="11"/>
  <c r="P29" i="11"/>
  <c r="P13" i="11"/>
  <c r="Q13" i="11" s="1"/>
  <c r="M54" i="11"/>
  <c r="O3" i="29"/>
  <c r="T5" i="39" s="1"/>
  <c r="P3" i="29"/>
  <c r="AL4" i="29"/>
  <c r="AL5" i="29"/>
  <c r="S3" i="29"/>
  <c r="M3" i="29" s="1"/>
  <c r="S5" i="39" s="1"/>
  <c r="M4" i="29"/>
  <c r="S20" i="39" s="1"/>
  <c r="AI6" i="29"/>
  <c r="Z15" i="37" s="1"/>
  <c r="P5" i="29"/>
  <c r="O3" i="28"/>
  <c r="AL4" i="28"/>
  <c r="S3" i="28"/>
  <c r="M15" i="28" s="1"/>
  <c r="X18" i="35" s="1"/>
  <c r="M5" i="28"/>
  <c r="P4" i="28"/>
  <c r="AL5" i="28"/>
  <c r="AI4" i="27"/>
  <c r="O3" i="27"/>
  <c r="P11" i="38" s="1"/>
  <c r="P3" i="27"/>
  <c r="AI5" i="26"/>
  <c r="P3" i="26"/>
  <c r="AL4" i="26"/>
  <c r="O3" i="26"/>
  <c r="P4" i="26"/>
  <c r="Q4" i="26" s="1"/>
  <c r="P5" i="26"/>
  <c r="Q5" i="26" s="1"/>
  <c r="AL6" i="26"/>
  <c r="AG3" i="15"/>
  <c r="AE34" i="15" s="1"/>
  <c r="M3" i="24"/>
  <c r="H5" i="39" s="1"/>
  <c r="AL3" i="24"/>
  <c r="AI4" i="24"/>
  <c r="H13" i="37" s="1"/>
  <c r="AO3" i="24"/>
  <c r="AI18" i="24" s="1"/>
  <c r="H11" i="37" s="1"/>
  <c r="P3" i="24"/>
  <c r="O4" i="24"/>
  <c r="I21" i="39" s="1"/>
  <c r="O5" i="24"/>
  <c r="I20" i="39" s="1"/>
  <c r="AK6" i="24"/>
  <c r="AL5" i="23"/>
  <c r="AQ3" i="23"/>
  <c r="AM12" i="23" s="1"/>
  <c r="AI11" i="36" s="1"/>
  <c r="S3" i="23"/>
  <c r="P4" i="23"/>
  <c r="P5" i="23"/>
  <c r="P4" i="22"/>
  <c r="AL3" i="22"/>
  <c r="P3" i="22"/>
  <c r="Q3" i="22" s="1"/>
  <c r="AI19" i="39" s="1"/>
  <c r="AI4" i="21"/>
  <c r="Z4" i="36" s="1"/>
  <c r="AI5" i="21"/>
  <c r="Z5" i="36" s="1"/>
  <c r="S3" i="21"/>
  <c r="T3" i="21"/>
  <c r="AI6" i="21"/>
  <c r="Z8" i="36" s="1"/>
  <c r="P4" i="21"/>
  <c r="P5" i="21"/>
  <c r="Q3" i="15"/>
  <c r="AI3" i="15"/>
  <c r="O3" i="15"/>
  <c r="M49" i="15" s="1"/>
  <c r="AI5" i="14"/>
  <c r="O3" i="14"/>
  <c r="G3" i="9" s="1"/>
  <c r="P3" i="14"/>
  <c r="AL4" i="14"/>
  <c r="AM4" i="14" s="1"/>
  <c r="P4" i="14"/>
  <c r="P5" i="14"/>
  <c r="AL6" i="14"/>
  <c r="AM22" i="13"/>
  <c r="AH4" i="37" s="1"/>
  <c r="P3" i="13"/>
  <c r="S3" i="13"/>
  <c r="M4" i="13"/>
  <c r="M5" i="13"/>
  <c r="AI12" i="13"/>
  <c r="P25" i="12"/>
  <c r="AL5" i="12"/>
  <c r="AM5" i="12" s="1"/>
  <c r="AG6" i="37" s="1"/>
  <c r="M26" i="12"/>
  <c r="M25" i="12"/>
  <c r="M3" i="12"/>
  <c r="AI7" i="12"/>
  <c r="D9" i="37" s="1"/>
  <c r="AI6" i="12"/>
  <c r="D14" i="37" s="1"/>
  <c r="AL4" i="11"/>
  <c r="AL3" i="11"/>
  <c r="AL5" i="11"/>
  <c r="P37" i="11"/>
  <c r="P20" i="11"/>
  <c r="P24" i="11"/>
  <c r="AL6" i="11"/>
  <c r="T3" i="11"/>
  <c r="O48" i="11" s="1"/>
  <c r="S3" i="11"/>
  <c r="M5" i="11" s="1"/>
  <c r="AP3" i="11"/>
  <c r="AO3" i="11"/>
  <c r="AE3" i="1"/>
  <c r="AE4" i="1"/>
  <c r="AE5" i="1"/>
  <c r="AE6" i="1"/>
  <c r="AE7" i="1"/>
  <c r="AE8" i="1"/>
  <c r="AE9" i="1"/>
  <c r="AE10" i="1"/>
  <c r="AE11" i="1"/>
  <c r="AE12" i="1"/>
  <c r="AE13" i="1"/>
  <c r="AE14" i="1"/>
  <c r="AE2" i="1"/>
  <c r="AB10" i="36" l="1" a="1"/>
  <c r="AB10" i="36" s="1"/>
  <c r="BA11" i="36"/>
  <c r="M35" i="23"/>
  <c r="H18" i="38" s="1"/>
  <c r="J18" i="38" s="1" a="1"/>
  <c r="J18" i="38" s="1"/>
  <c r="AR20" i="38" s="1"/>
  <c r="M24" i="23"/>
  <c r="H11" i="38" s="1"/>
  <c r="J11" i="38" s="1" a="1"/>
  <c r="J11" i="38" s="1"/>
  <c r="AR14" i="38" s="1"/>
  <c r="M25" i="23"/>
  <c r="H14" i="38" s="1"/>
  <c r="M27" i="23"/>
  <c r="H20" i="38" s="1"/>
  <c r="M30" i="23"/>
  <c r="H3" i="38" s="1"/>
  <c r="M32" i="23"/>
  <c r="H6" i="38" s="1"/>
  <c r="M33" i="23"/>
  <c r="H10" i="9" s="1"/>
  <c r="M31" i="23"/>
  <c r="H20" i="9" s="1"/>
  <c r="M29" i="23"/>
  <c r="H4" i="38" s="1"/>
  <c r="M28" i="23"/>
  <c r="M26" i="23"/>
  <c r="H18" i="9" s="1"/>
  <c r="M34" i="23"/>
  <c r="H15" i="9" s="1"/>
  <c r="M23" i="23"/>
  <c r="H19" i="38" s="1"/>
  <c r="J19" i="38" s="1" a="1"/>
  <c r="J19" i="38" s="1"/>
  <c r="AR4" i="38" s="1"/>
  <c r="M17" i="23"/>
  <c r="H8" i="38" s="1"/>
  <c r="J8" i="38" s="1" a="1"/>
  <c r="J8" i="38" s="1"/>
  <c r="AR10" i="38" s="1"/>
  <c r="O19" i="23"/>
  <c r="I7" i="38" s="1"/>
  <c r="O23" i="23"/>
  <c r="I19" i="38" s="1"/>
  <c r="O24" i="23"/>
  <c r="I11" i="38" s="1"/>
  <c r="O25" i="23"/>
  <c r="I14" i="38" s="1"/>
  <c r="O28" i="23"/>
  <c r="O29" i="23"/>
  <c r="I4" i="38" s="1"/>
  <c r="O30" i="23"/>
  <c r="I3" i="38" s="1"/>
  <c r="O31" i="23"/>
  <c r="I20" i="9" s="1"/>
  <c r="O32" i="23"/>
  <c r="I6" i="38" s="1"/>
  <c r="O26" i="23"/>
  <c r="I18" i="9" s="1"/>
  <c r="O27" i="23"/>
  <c r="I20" i="38" s="1"/>
  <c r="O22" i="23"/>
  <c r="M16" i="23"/>
  <c r="H16" i="9" s="1"/>
  <c r="M15" i="23"/>
  <c r="AQ3" i="29"/>
  <c r="AM25" i="29"/>
  <c r="AS5" i="37" a="1"/>
  <c r="AS5" i="37" s="1"/>
  <c r="AM23" i="29"/>
  <c r="AM3" i="29"/>
  <c r="AR10" i="37" s="1"/>
  <c r="AM12" i="29"/>
  <c r="AR3" i="37" s="1"/>
  <c r="AM5" i="29"/>
  <c r="AR9" i="37" s="1"/>
  <c r="AM4" i="29"/>
  <c r="AR6" i="37" s="1"/>
  <c r="AM11" i="29"/>
  <c r="AR8" i="37" s="1"/>
  <c r="AM24" i="29"/>
  <c r="AR3" i="41" s="1"/>
  <c r="AM18" i="21"/>
  <c r="AB8" i="36" a="1"/>
  <c r="AB8" i="36" s="1"/>
  <c r="AM7" i="21"/>
  <c r="AR7" i="36" s="1"/>
  <c r="AK13" i="21"/>
  <c r="AK11" i="21"/>
  <c r="AA9" i="36" s="1"/>
  <c r="AK12" i="21"/>
  <c r="AK18" i="21"/>
  <c r="AK14" i="21"/>
  <c r="AK15" i="21"/>
  <c r="AA6" i="36" s="1"/>
  <c r="AK8" i="21"/>
  <c r="AA12" i="36" s="1"/>
  <c r="AQ3" i="21"/>
  <c r="AM10" i="21" s="1"/>
  <c r="AK10" i="21"/>
  <c r="M7" i="29"/>
  <c r="M19" i="29"/>
  <c r="Z8" i="35" s="1"/>
  <c r="M8" i="29"/>
  <c r="M20" i="29"/>
  <c r="Z18" i="35" s="1"/>
  <c r="M9" i="29"/>
  <c r="S9" i="39" s="1"/>
  <c r="M21" i="29"/>
  <c r="Z14" i="35" s="1"/>
  <c r="M6" i="29"/>
  <c r="S4" i="39" s="1"/>
  <c r="M18" i="29"/>
  <c r="Z4" i="35" s="1"/>
  <c r="M10" i="29"/>
  <c r="S6" i="39" s="1"/>
  <c r="M22" i="29"/>
  <c r="Z9" i="35" s="1"/>
  <c r="M11" i="29"/>
  <c r="M23" i="29"/>
  <c r="Z19" i="35" s="1"/>
  <c r="O19" i="29"/>
  <c r="AA8" i="35" s="1"/>
  <c r="O10" i="29"/>
  <c r="T6" i="39" s="1"/>
  <c r="O22" i="29"/>
  <c r="AA9" i="35" s="1"/>
  <c r="O11" i="29"/>
  <c r="O23" i="29"/>
  <c r="AA19" i="35" s="1"/>
  <c r="O6" i="29"/>
  <c r="T4" i="39" s="1"/>
  <c r="O18" i="29"/>
  <c r="AA4" i="35" s="1"/>
  <c r="O7" i="29"/>
  <c r="O8" i="29"/>
  <c r="O20" i="29"/>
  <c r="AA18" i="35" s="1"/>
  <c r="O9" i="29"/>
  <c r="T9" i="39" s="1"/>
  <c r="O21" i="29"/>
  <c r="AA14" i="35" s="1"/>
  <c r="O16" i="21"/>
  <c r="T18" i="38" s="1"/>
  <c r="U18" i="38" s="1" a="1"/>
  <c r="U18" i="38" s="1"/>
  <c r="O28" i="21"/>
  <c r="AA7" i="9" s="1"/>
  <c r="O17" i="21"/>
  <c r="T4" i="38" s="1"/>
  <c r="O29" i="21"/>
  <c r="AA12" i="9" s="1"/>
  <c r="O6" i="21"/>
  <c r="T8" i="38" s="1"/>
  <c r="O18" i="21"/>
  <c r="T6" i="38" s="1"/>
  <c r="O30" i="21"/>
  <c r="AA16" i="9" s="1"/>
  <c r="O7" i="21"/>
  <c r="T9" i="38" s="1"/>
  <c r="O19" i="21"/>
  <c r="T3" i="38" s="1"/>
  <c r="O31" i="21"/>
  <c r="AA23" i="9" s="1"/>
  <c r="O8" i="21"/>
  <c r="O20" i="21"/>
  <c r="AA3" i="9" s="1"/>
  <c r="O32" i="21"/>
  <c r="AA21" i="9" s="1"/>
  <c r="O33" i="21"/>
  <c r="AA19" i="9" s="1"/>
  <c r="M6" i="21"/>
  <c r="S8" i="38" s="1"/>
  <c r="M18" i="21"/>
  <c r="S6" i="38" s="1"/>
  <c r="M30" i="21"/>
  <c r="Z16" i="9" s="1"/>
  <c r="M7" i="21"/>
  <c r="S9" i="38" s="1"/>
  <c r="M19" i="21"/>
  <c r="S3" i="38" s="1"/>
  <c r="M31" i="21"/>
  <c r="Z23" i="9" s="1"/>
  <c r="M8" i="21"/>
  <c r="M20" i="21"/>
  <c r="Z3" i="9" s="1"/>
  <c r="M32" i="21"/>
  <c r="Z21" i="9" s="1"/>
  <c r="M9" i="21"/>
  <c r="S19" i="38" s="1"/>
  <c r="M21" i="21"/>
  <c r="Z6" i="9" s="1"/>
  <c r="M33" i="21"/>
  <c r="Z19" i="9" s="1"/>
  <c r="M10" i="21"/>
  <c r="S7" i="38" s="1"/>
  <c r="M22" i="21"/>
  <c r="Z9" i="9" s="1"/>
  <c r="M34" i="21"/>
  <c r="Z18" i="9" s="1"/>
  <c r="M3" i="21"/>
  <c r="S17" i="38" s="1"/>
  <c r="M28" i="21"/>
  <c r="Z7" i="9" s="1"/>
  <c r="AB7" i="9" s="1" a="1"/>
  <c r="AB7" i="9" s="1"/>
  <c r="AZ13" i="9" s="1"/>
  <c r="O14" i="21"/>
  <c r="O5" i="21"/>
  <c r="O26" i="21"/>
  <c r="AA11" i="9" s="1"/>
  <c r="M17" i="21"/>
  <c r="S4" i="38" s="1"/>
  <c r="M14" i="21"/>
  <c r="O3" i="21"/>
  <c r="T17" i="38" s="1"/>
  <c r="M4" i="21"/>
  <c r="M29" i="21"/>
  <c r="Z12" i="9" s="1"/>
  <c r="M26" i="21"/>
  <c r="Z11" i="9" s="1"/>
  <c r="O12" i="21"/>
  <c r="T14" i="38" s="1"/>
  <c r="M12" i="21"/>
  <c r="S14" i="38" s="1"/>
  <c r="U14" i="38" s="1" a="1"/>
  <c r="U14" i="38" s="1"/>
  <c r="AS11" i="38" s="1"/>
  <c r="O10" i="21"/>
  <c r="T7" i="38" s="1"/>
  <c r="U3" i="21"/>
  <c r="Q17" i="21"/>
  <c r="AK4" i="38" s="1"/>
  <c r="O24" i="21"/>
  <c r="AA8" i="9" s="1"/>
  <c r="O15" i="21"/>
  <c r="M24" i="21"/>
  <c r="Z8" i="9" s="1"/>
  <c r="O22" i="21"/>
  <c r="AA9" i="9" s="1"/>
  <c r="O36" i="21"/>
  <c r="AA20" i="9" s="1"/>
  <c r="O27" i="21"/>
  <c r="AA22" i="9" s="1"/>
  <c r="M36" i="21"/>
  <c r="Z20" i="9" s="1"/>
  <c r="AB20" i="9" s="1" a="1"/>
  <c r="AB20" i="9" s="1"/>
  <c r="AZ19" i="9" s="1"/>
  <c r="O34" i="21"/>
  <c r="AA18" i="9" s="1"/>
  <c r="M5" i="21"/>
  <c r="M13" i="21"/>
  <c r="S20" i="38" s="1"/>
  <c r="M7" i="23"/>
  <c r="H7" i="9" s="1"/>
  <c r="M20" i="23"/>
  <c r="M9" i="23"/>
  <c r="H13" i="9" s="1"/>
  <c r="M21" i="23"/>
  <c r="H9" i="38" s="1"/>
  <c r="M10" i="23"/>
  <c r="H11" i="9" s="1"/>
  <c r="M22" i="23"/>
  <c r="M11" i="23"/>
  <c r="H12" i="9" s="1"/>
  <c r="M12" i="23"/>
  <c r="H8" i="9" s="1"/>
  <c r="M6" i="23"/>
  <c r="H9" i="9" s="1"/>
  <c r="M18" i="23"/>
  <c r="H17" i="9" s="1"/>
  <c r="M19" i="23"/>
  <c r="H7" i="38" s="1"/>
  <c r="J7" i="38" s="1" a="1"/>
  <c r="J7" i="38" s="1"/>
  <c r="AR7" i="38" s="1"/>
  <c r="M8" i="23"/>
  <c r="H5" i="9" s="1"/>
  <c r="O16" i="23"/>
  <c r="I16" i="9" s="1"/>
  <c r="M3" i="23"/>
  <c r="H3" i="9" s="1"/>
  <c r="M5" i="23"/>
  <c r="H6" i="9" s="1"/>
  <c r="O4" i="23"/>
  <c r="I4" i="9" s="1"/>
  <c r="O15" i="23"/>
  <c r="O18" i="23"/>
  <c r="I17" i="9" s="1"/>
  <c r="O7" i="23"/>
  <c r="I7" i="9" s="1"/>
  <c r="M4" i="23"/>
  <c r="H4" i="9" s="1"/>
  <c r="O14" i="23"/>
  <c r="I17" i="38" s="1"/>
  <c r="O8" i="23"/>
  <c r="I5" i="9" s="1"/>
  <c r="O20" i="23"/>
  <c r="O9" i="23"/>
  <c r="I13" i="9" s="1"/>
  <c r="O21" i="23"/>
  <c r="I9" i="38" s="1"/>
  <c r="O10" i="23"/>
  <c r="I11" i="9" s="1"/>
  <c r="O11" i="23"/>
  <c r="I12" i="9" s="1"/>
  <c r="O12" i="23"/>
  <c r="I8" i="9" s="1"/>
  <c r="O13" i="23"/>
  <c r="I14" i="9" s="1"/>
  <c r="O3" i="23"/>
  <c r="I3" i="9" s="1"/>
  <c r="O17" i="23"/>
  <c r="I8" i="38" s="1"/>
  <c r="O5" i="23"/>
  <c r="I6" i="9" s="1"/>
  <c r="O6" i="23"/>
  <c r="I9" i="9" s="1"/>
  <c r="U3" i="23"/>
  <c r="M13" i="23"/>
  <c r="H14" i="9" s="1"/>
  <c r="M14" i="23"/>
  <c r="H17" i="38" s="1"/>
  <c r="J17" i="38" s="1" a="1"/>
  <c r="J17" i="38" s="1"/>
  <c r="AR3" i="38" s="1"/>
  <c r="AM15" i="23"/>
  <c r="AI6" i="36" s="1"/>
  <c r="AJ6" i="36" s="1" a="1"/>
  <c r="AJ6" i="36" s="1"/>
  <c r="AM3" i="23"/>
  <c r="AI10" i="36" s="1"/>
  <c r="AM18" i="23"/>
  <c r="AM7" i="23"/>
  <c r="AM14" i="23"/>
  <c r="AM10" i="23"/>
  <c r="AM8" i="23"/>
  <c r="AI12" i="36" s="1"/>
  <c r="AM11" i="23"/>
  <c r="AM13" i="23"/>
  <c r="AI9" i="36" s="1"/>
  <c r="AM4" i="23"/>
  <c r="AM21" i="23"/>
  <c r="AI8" i="40" s="1"/>
  <c r="AM5" i="23"/>
  <c r="AI8" i="36" s="1"/>
  <c r="AI8" i="23"/>
  <c r="H12" i="36" s="1"/>
  <c r="AI9" i="23"/>
  <c r="H7" i="36" s="1"/>
  <c r="AI21" i="23"/>
  <c r="H8" i="40" s="1"/>
  <c r="J8" i="40" s="1" a="1"/>
  <c r="J8" i="40" s="1"/>
  <c r="AY5" i="40" s="1"/>
  <c r="AI11" i="23"/>
  <c r="AI12" i="23"/>
  <c r="H11" i="36" s="1"/>
  <c r="AI13" i="23"/>
  <c r="H9" i="36" s="1"/>
  <c r="AI14" i="23"/>
  <c r="AI7" i="23"/>
  <c r="AI19" i="23"/>
  <c r="H6" i="40" s="1"/>
  <c r="J6" i="40" s="1" a="1"/>
  <c r="J6" i="40" s="1"/>
  <c r="AY3" i="40" s="1"/>
  <c r="AI20" i="23"/>
  <c r="H5" i="40" s="1"/>
  <c r="J5" i="40" s="1" a="1"/>
  <c r="J5" i="40" s="1"/>
  <c r="AY6" i="40" s="1"/>
  <c r="AI10" i="23"/>
  <c r="AI22" i="23"/>
  <c r="H11" i="40" s="1"/>
  <c r="J11" i="40" s="1" a="1"/>
  <c r="J11" i="40" s="1"/>
  <c r="AM19" i="23"/>
  <c r="AI6" i="40" s="1"/>
  <c r="AM6" i="23"/>
  <c r="AI4" i="36" s="1"/>
  <c r="AI5" i="23"/>
  <c r="H8" i="36" s="1"/>
  <c r="AI4" i="23"/>
  <c r="AI15" i="23"/>
  <c r="H6" i="36" s="1"/>
  <c r="AM20" i="23"/>
  <c r="AI5" i="40" s="1"/>
  <c r="AM9" i="23"/>
  <c r="AI7" i="36" s="1"/>
  <c r="AI18" i="23"/>
  <c r="Q5" i="24"/>
  <c r="AB20" i="39" s="1"/>
  <c r="Q4" i="24"/>
  <c r="AB21" i="39" s="1"/>
  <c r="Q16" i="24"/>
  <c r="AI4" i="35" s="1"/>
  <c r="O12" i="24"/>
  <c r="I19" i="39" s="1"/>
  <c r="J19" i="39" s="1" a="1"/>
  <c r="J19" i="39" s="1"/>
  <c r="AR11" i="39" s="1"/>
  <c r="O3" i="24"/>
  <c r="I5" i="39" s="1"/>
  <c r="J5" i="39" s="1" a="1"/>
  <c r="J5" i="39" s="1"/>
  <c r="AR3" i="39" s="1"/>
  <c r="AT15" i="39"/>
  <c r="O8" i="24"/>
  <c r="I6" i="39" s="1"/>
  <c r="J6" i="39" s="1" a="1"/>
  <c r="J6" i="39" s="1"/>
  <c r="O9" i="24"/>
  <c r="I7" i="39" s="1"/>
  <c r="J7" i="39" s="1" a="1"/>
  <c r="J7" i="39" s="1"/>
  <c r="O21" i="24"/>
  <c r="I19" i="35" s="1"/>
  <c r="O10" i="24"/>
  <c r="I17" i="39" s="1"/>
  <c r="J17" i="39" s="1" a="1"/>
  <c r="J17" i="39" s="1"/>
  <c r="AR12" i="39" s="1"/>
  <c r="O22" i="24"/>
  <c r="I14" i="35" s="1"/>
  <c r="O11" i="24"/>
  <c r="I9" i="39" s="1"/>
  <c r="J9" i="39" s="1" a="1"/>
  <c r="J9" i="39" s="1"/>
  <c r="AR9" i="39" s="1"/>
  <c r="O6" i="24"/>
  <c r="I4" i="39" s="1"/>
  <c r="J4" i="39" s="1" a="1"/>
  <c r="J4" i="39" s="1"/>
  <c r="O18" i="24"/>
  <c r="I12" i="35" s="1"/>
  <c r="O7" i="24"/>
  <c r="I18" i="39" s="1"/>
  <c r="J18" i="39" s="1" a="1"/>
  <c r="J18" i="39" s="1"/>
  <c r="O19" i="24"/>
  <c r="I8" i="35" s="1"/>
  <c r="O20" i="24"/>
  <c r="I9" i="35" s="1"/>
  <c r="J9" i="35" s="1" a="1"/>
  <c r="J9" i="35" s="1"/>
  <c r="AY10" i="35" s="1"/>
  <c r="O13" i="24"/>
  <c r="AU20" i="39"/>
  <c r="O17" i="24"/>
  <c r="I18" i="35" s="1"/>
  <c r="AU15" i="39"/>
  <c r="AI12" i="24"/>
  <c r="H3" i="37" s="1"/>
  <c r="AI3" i="24"/>
  <c r="H5" i="37" s="1"/>
  <c r="AI26" i="24"/>
  <c r="H5" i="41" s="1"/>
  <c r="J5" i="41" s="1" a="1"/>
  <c r="J5" i="41" s="1"/>
  <c r="AK15" i="24"/>
  <c r="AK16" i="24"/>
  <c r="I7" i="37" s="1"/>
  <c r="AK3" i="24"/>
  <c r="I5" i="37" s="1"/>
  <c r="AI11" i="24"/>
  <c r="AK8" i="24"/>
  <c r="I9" i="37" s="1"/>
  <c r="AK14" i="24"/>
  <c r="I10" i="37" s="1"/>
  <c r="AK20" i="24"/>
  <c r="AI6" i="24"/>
  <c r="AI17" i="24"/>
  <c r="H4" i="37" s="1"/>
  <c r="AK5" i="24"/>
  <c r="I6" i="37" s="1"/>
  <c r="AI9" i="24"/>
  <c r="H14" i="37" s="1"/>
  <c r="AI21" i="24"/>
  <c r="H3" i="41" s="1"/>
  <c r="J3" i="41" s="1" a="1"/>
  <c r="J3" i="41" s="1"/>
  <c r="AI10" i="24"/>
  <c r="H8" i="37" s="1"/>
  <c r="AI7" i="24"/>
  <c r="H15" i="37" s="1"/>
  <c r="AI19" i="24"/>
  <c r="H6" i="41" s="1"/>
  <c r="J6" i="41" s="1" a="1"/>
  <c r="J6" i="41" s="1"/>
  <c r="AY5" i="41" s="1"/>
  <c r="AI8" i="24"/>
  <c r="H9" i="37" s="1"/>
  <c r="AI20" i="24"/>
  <c r="AI5" i="24"/>
  <c r="H6" i="37" s="1"/>
  <c r="AK4" i="24"/>
  <c r="I13" i="37" s="1"/>
  <c r="AK11" i="24"/>
  <c r="AK9" i="24"/>
  <c r="I14" i="37" s="1"/>
  <c r="AK21" i="24"/>
  <c r="I3" i="41" s="1"/>
  <c r="AR7" i="39"/>
  <c r="AU17" i="39"/>
  <c r="AU22" i="39"/>
  <c r="AR17" i="39"/>
  <c r="AT21" i="39"/>
  <c r="AT22" i="39"/>
  <c r="AU14" i="39"/>
  <c r="AR14" i="39"/>
  <c r="AT19" i="39"/>
  <c r="AT17" i="39"/>
  <c r="AR13" i="39"/>
  <c r="AT20" i="39"/>
  <c r="AR22" i="39"/>
  <c r="AR8" i="39"/>
  <c r="AR18" i="39"/>
  <c r="AR21" i="39"/>
  <c r="AR20" i="39"/>
  <c r="AT10" i="39"/>
  <c r="AU21" i="39"/>
  <c r="AU18" i="39"/>
  <c r="AT14" i="39"/>
  <c r="AU10" i="39"/>
  <c r="U8" i="39" a="1"/>
  <c r="U8" i="39" s="1"/>
  <c r="AS12" i="39" s="1"/>
  <c r="M24" i="15"/>
  <c r="M47" i="15"/>
  <c r="M36" i="15"/>
  <c r="M20" i="15"/>
  <c r="O16" i="9" s="1"/>
  <c r="BF22" i="9"/>
  <c r="M35" i="15"/>
  <c r="M48" i="15"/>
  <c r="M9" i="15"/>
  <c r="O11" i="9" s="1"/>
  <c r="M10" i="15"/>
  <c r="M42" i="15"/>
  <c r="M44" i="15"/>
  <c r="M33" i="15"/>
  <c r="M41" i="15"/>
  <c r="M54" i="15"/>
  <c r="M28" i="15"/>
  <c r="M40" i="15"/>
  <c r="M52" i="15"/>
  <c r="O10" i="36" s="1"/>
  <c r="M53" i="15"/>
  <c r="O7" i="36" s="1"/>
  <c r="M30" i="15"/>
  <c r="O9" i="40" s="1"/>
  <c r="M31" i="15"/>
  <c r="O8" i="40" s="1"/>
  <c r="M43" i="15"/>
  <c r="O4" i="36" s="1"/>
  <c r="M55" i="15"/>
  <c r="O11" i="36" s="1"/>
  <c r="M45" i="15"/>
  <c r="O9" i="36" s="1"/>
  <c r="M34" i="15"/>
  <c r="M46" i="15"/>
  <c r="O5" i="36" s="1"/>
  <c r="M38" i="15"/>
  <c r="M6" i="15"/>
  <c r="O14" i="9" s="1"/>
  <c r="M21" i="15"/>
  <c r="M18" i="15"/>
  <c r="O23" i="9" s="1"/>
  <c r="M19" i="15"/>
  <c r="O21" i="9" s="1"/>
  <c r="M4" i="15"/>
  <c r="M7" i="15"/>
  <c r="O3" i="9" s="1"/>
  <c r="M8" i="15"/>
  <c r="M11" i="15"/>
  <c r="O9" i="9" s="1"/>
  <c r="M12" i="15"/>
  <c r="M3" i="15"/>
  <c r="O8" i="9" s="1"/>
  <c r="M13" i="15"/>
  <c r="O6" i="9" s="1"/>
  <c r="Q6" i="9" s="1" a="1"/>
  <c r="Q6" i="9" s="1"/>
  <c r="BA15" i="9" s="1"/>
  <c r="M5" i="15"/>
  <c r="M14" i="15"/>
  <c r="O12" i="9" s="1"/>
  <c r="M15" i="15"/>
  <c r="M22" i="15"/>
  <c r="O10" i="9" s="1"/>
  <c r="M16" i="15"/>
  <c r="O22" i="9" s="1"/>
  <c r="M23" i="15"/>
  <c r="M17" i="15"/>
  <c r="O7" i="9" s="1"/>
  <c r="Q7" i="9" s="1" a="1"/>
  <c r="Q7" i="9" s="1"/>
  <c r="BA13" i="9" s="1"/>
  <c r="AE3" i="25"/>
  <c r="P18" i="35" s="1"/>
  <c r="AE10" i="25"/>
  <c r="P8" i="35" s="1"/>
  <c r="AE34" i="25"/>
  <c r="AE46" i="25"/>
  <c r="AE27" i="25"/>
  <c r="AE49" i="25"/>
  <c r="P8" i="37" s="1"/>
  <c r="AE44" i="25"/>
  <c r="P9" i="37" s="1"/>
  <c r="AE35" i="25"/>
  <c r="P4" i="37" s="1"/>
  <c r="AE6" i="25"/>
  <c r="P12" i="35" s="1"/>
  <c r="AE40" i="25"/>
  <c r="P11" i="37" s="1"/>
  <c r="AE36" i="25"/>
  <c r="AE38" i="25"/>
  <c r="P13" i="37" s="1"/>
  <c r="AE7" i="25"/>
  <c r="AE16" i="25"/>
  <c r="P16" i="35" s="1"/>
  <c r="AE26" i="25"/>
  <c r="AE29" i="25"/>
  <c r="AE13" i="25"/>
  <c r="P6" i="35" s="1"/>
  <c r="AE30" i="25"/>
  <c r="P7" i="37" s="1"/>
  <c r="Q7" i="37" s="1" a="1"/>
  <c r="Q7" i="37" s="1"/>
  <c r="AE25" i="25"/>
  <c r="AE31" i="25"/>
  <c r="P6" i="37" s="1"/>
  <c r="AE12" i="25"/>
  <c r="P14" i="35" s="1"/>
  <c r="AE42" i="25"/>
  <c r="P15" i="37" s="1"/>
  <c r="AE17" i="25"/>
  <c r="AE43" i="25"/>
  <c r="AE5" i="25"/>
  <c r="AE32" i="25"/>
  <c r="P6" i="41" s="1"/>
  <c r="AE24" i="25"/>
  <c r="P7" i="41" s="1"/>
  <c r="AE45" i="25"/>
  <c r="AE41" i="25"/>
  <c r="M40" i="25"/>
  <c r="M39" i="25"/>
  <c r="M51" i="25"/>
  <c r="M52" i="25"/>
  <c r="M46" i="25"/>
  <c r="M47" i="25"/>
  <c r="M13" i="25"/>
  <c r="M36" i="25"/>
  <c r="M37" i="25"/>
  <c r="M38" i="25"/>
  <c r="M41" i="25"/>
  <c r="O4" i="35" s="1"/>
  <c r="Q4" i="35" s="1" a="1"/>
  <c r="Q4" i="35" s="1"/>
  <c r="BA4" i="35" s="1"/>
  <c r="M50" i="25"/>
  <c r="M48" i="25"/>
  <c r="M49" i="25"/>
  <c r="M43" i="25"/>
  <c r="O14" i="35" s="1"/>
  <c r="M44" i="25"/>
  <c r="O6" i="35" s="1"/>
  <c r="Q6" i="35" s="1" a="1"/>
  <c r="Q6" i="35" s="1"/>
  <c r="BA8" i="35" s="1"/>
  <c r="M11" i="25"/>
  <c r="O4" i="37" s="1"/>
  <c r="M45" i="25"/>
  <c r="M8" i="25"/>
  <c r="O6" i="41" s="1"/>
  <c r="Q6" i="41" s="1" a="1"/>
  <c r="Q6" i="41" s="1"/>
  <c r="BA5" i="41" s="1"/>
  <c r="M20" i="25"/>
  <c r="M9" i="25"/>
  <c r="M21" i="25"/>
  <c r="M10" i="25"/>
  <c r="M22" i="25"/>
  <c r="M7" i="25"/>
  <c r="M14" i="25"/>
  <c r="M26" i="25"/>
  <c r="M15" i="25"/>
  <c r="M27" i="25"/>
  <c r="O3" i="37" s="1"/>
  <c r="Q3" i="37" s="1" a="1"/>
  <c r="Q3" i="37" s="1"/>
  <c r="M16" i="25"/>
  <c r="O15" i="37" s="1"/>
  <c r="M28" i="25"/>
  <c r="O14" i="37" s="1"/>
  <c r="Q14" i="37" s="1" a="1"/>
  <c r="Q14" i="37" s="1"/>
  <c r="M17" i="25"/>
  <c r="M29" i="25"/>
  <c r="M6" i="25"/>
  <c r="M18" i="25"/>
  <c r="M30" i="25"/>
  <c r="M19" i="25"/>
  <c r="O8" i="41" s="1"/>
  <c r="Q8" i="41" s="1" a="1"/>
  <c r="Q8" i="41" s="1"/>
  <c r="BA4" i="41" s="1"/>
  <c r="M23" i="25"/>
  <c r="O9" i="37" s="1"/>
  <c r="M3" i="25"/>
  <c r="M12" i="25"/>
  <c r="M5" i="25"/>
  <c r="M24" i="25"/>
  <c r="O8" i="37" s="1"/>
  <c r="M4" i="25"/>
  <c r="M25" i="25"/>
  <c r="BA12" i="35"/>
  <c r="AE8" i="15"/>
  <c r="AE37" i="15"/>
  <c r="P22" i="9" s="1"/>
  <c r="AE50" i="15"/>
  <c r="AE32" i="15"/>
  <c r="P5" i="9" s="1"/>
  <c r="Q5" i="9" s="1" a="1"/>
  <c r="Q5" i="9" s="1"/>
  <c r="BA5" i="9" s="1"/>
  <c r="AE44" i="15"/>
  <c r="AE48" i="15"/>
  <c r="P21" i="9" s="1"/>
  <c r="Q21" i="9" s="1" a="1"/>
  <c r="Q21" i="9" s="1"/>
  <c r="BA14" i="9" s="1"/>
  <c r="AE33" i="15"/>
  <c r="P8" i="9" s="1"/>
  <c r="Q8" i="9" s="1" a="1"/>
  <c r="Q8" i="9" s="1"/>
  <c r="BA3" i="9" s="1"/>
  <c r="AE45" i="15"/>
  <c r="AE36" i="15"/>
  <c r="P3" i="9" s="1"/>
  <c r="Q3" i="9" s="1" a="1"/>
  <c r="Q3" i="9" s="1"/>
  <c r="BA4" i="9" s="1"/>
  <c r="AE49" i="15"/>
  <c r="P18" i="9" s="1"/>
  <c r="Q18" i="9" s="1" a="1"/>
  <c r="Q18" i="9" s="1"/>
  <c r="BA18" i="9" s="1"/>
  <c r="AE38" i="15"/>
  <c r="AE47" i="15"/>
  <c r="AE40" i="15"/>
  <c r="AE52" i="15"/>
  <c r="P10" i="9" s="1"/>
  <c r="Q10" i="9" s="1" a="1"/>
  <c r="Q10" i="9" s="1"/>
  <c r="BA16" i="9" s="1"/>
  <c r="AE41" i="15"/>
  <c r="P11" i="9" s="1"/>
  <c r="AE42" i="15"/>
  <c r="P12" i="9" s="1"/>
  <c r="Q12" i="9" s="1" a="1"/>
  <c r="Q12" i="9" s="1"/>
  <c r="BA10" i="9" s="1"/>
  <c r="AE46" i="15"/>
  <c r="P23" i="9" s="1"/>
  <c r="AE35" i="15"/>
  <c r="P14" i="9" s="1"/>
  <c r="Q14" i="9" s="1" a="1"/>
  <c r="Q14" i="9" s="1"/>
  <c r="BA11" i="9" s="1"/>
  <c r="AE51" i="15"/>
  <c r="AE39" i="15"/>
  <c r="P9" i="9" s="1"/>
  <c r="AE43" i="15"/>
  <c r="P16" i="9" s="1"/>
  <c r="Q16" i="9" s="1" a="1"/>
  <c r="Q16" i="9" s="1"/>
  <c r="BA9" i="9" s="1"/>
  <c r="AE20" i="15"/>
  <c r="P5" i="36" s="1"/>
  <c r="AE23" i="15"/>
  <c r="AE9" i="15"/>
  <c r="AE16" i="15"/>
  <c r="P11" i="40" s="1"/>
  <c r="Q11" i="40" s="1" a="1"/>
  <c r="Q11" i="40" s="1"/>
  <c r="BA4" i="40" s="1"/>
  <c r="AE7" i="15"/>
  <c r="AE19" i="15"/>
  <c r="P9" i="36" s="1"/>
  <c r="AE26" i="15"/>
  <c r="P10" i="36" s="1"/>
  <c r="AE27" i="15"/>
  <c r="P7" i="36" s="1"/>
  <c r="AE29" i="15"/>
  <c r="P11" i="36" s="1"/>
  <c r="AE21" i="15"/>
  <c r="AE10" i="15"/>
  <c r="AE22" i="15"/>
  <c r="P8" i="40" s="1"/>
  <c r="AE12" i="15"/>
  <c r="AE24" i="15"/>
  <c r="AE5" i="15"/>
  <c r="AE13" i="15"/>
  <c r="AE25" i="15"/>
  <c r="AE14" i="15"/>
  <c r="AE15" i="15"/>
  <c r="P4" i="36" s="1"/>
  <c r="AE28" i="15"/>
  <c r="AE3" i="15"/>
  <c r="AE11" i="15"/>
  <c r="AE18" i="15"/>
  <c r="P9" i="40" s="1"/>
  <c r="Q9" i="40" s="1" a="1"/>
  <c r="Q9" i="40" s="1"/>
  <c r="BA6" i="40" s="1"/>
  <c r="M15" i="22"/>
  <c r="M11" i="22"/>
  <c r="V10" i="35" s="1"/>
  <c r="O37" i="22"/>
  <c r="W20" i="35" s="1"/>
  <c r="M26" i="22"/>
  <c r="O7" i="39" s="1"/>
  <c r="O6" i="22"/>
  <c r="P17" i="39" s="1"/>
  <c r="O40" i="22"/>
  <c r="M31" i="22"/>
  <c r="O5" i="39" s="1"/>
  <c r="Q17" i="22"/>
  <c r="AI4" i="39" s="1"/>
  <c r="O33" i="22"/>
  <c r="W14" i="35" s="1"/>
  <c r="M10" i="22"/>
  <c r="O18" i="39" s="1"/>
  <c r="Q5" i="22"/>
  <c r="O31" i="22"/>
  <c r="P5" i="39" s="1"/>
  <c r="M13" i="22"/>
  <c r="O14" i="22"/>
  <c r="M34" i="22"/>
  <c r="O13" i="22"/>
  <c r="O26" i="22"/>
  <c r="P7" i="39" s="1"/>
  <c r="O7" i="22"/>
  <c r="Q4" i="22"/>
  <c r="M46" i="22"/>
  <c r="V9" i="35" s="1"/>
  <c r="O25" i="22"/>
  <c r="P20" i="39" s="1"/>
  <c r="O38" i="22"/>
  <c r="P9" i="39" s="1"/>
  <c r="M17" i="22"/>
  <c r="O4" i="39" s="1"/>
  <c r="M23" i="22"/>
  <c r="V16" i="35" s="1"/>
  <c r="M25" i="22"/>
  <c r="O20" i="39" s="1"/>
  <c r="M37" i="22"/>
  <c r="V20" i="35" s="1"/>
  <c r="AB20" i="35" s="1" a="1"/>
  <c r="AB20" i="35" s="1"/>
  <c r="AZ11" i="35" s="1"/>
  <c r="M35" i="22"/>
  <c r="Q25" i="22"/>
  <c r="AI20" i="39" s="1"/>
  <c r="O10" i="22"/>
  <c r="P18" i="39" s="1"/>
  <c r="O22" i="22"/>
  <c r="W18" i="35" s="1"/>
  <c r="O34" i="22"/>
  <c r="O11" i="22"/>
  <c r="W10" i="35" s="1"/>
  <c r="O23" i="22"/>
  <c r="W16" i="35" s="1"/>
  <c r="O35" i="22"/>
  <c r="O29" i="22"/>
  <c r="O32" i="22"/>
  <c r="W6" i="35" s="1"/>
  <c r="O41" i="22"/>
  <c r="W12" i="35" s="1"/>
  <c r="O8" i="22"/>
  <c r="W8" i="35" s="1"/>
  <c r="O42" i="22"/>
  <c r="P6" i="39" s="1"/>
  <c r="O17" i="22"/>
  <c r="P4" i="39" s="1"/>
  <c r="O18" i="22"/>
  <c r="O19" i="22"/>
  <c r="O20" i="22"/>
  <c r="P21" i="39" s="1"/>
  <c r="O28" i="22"/>
  <c r="M4" i="22"/>
  <c r="M38" i="22"/>
  <c r="O9" i="39" s="1"/>
  <c r="O16" i="22"/>
  <c r="M14" i="22"/>
  <c r="O24" i="22"/>
  <c r="O15" i="22"/>
  <c r="O27" i="22"/>
  <c r="O39" i="22"/>
  <c r="P22" i="39" s="1"/>
  <c r="O12" i="22"/>
  <c r="W4" i="35" s="1"/>
  <c r="O5" i="22"/>
  <c r="O36" i="22"/>
  <c r="M8" i="22"/>
  <c r="V8" i="35" s="1"/>
  <c r="M20" i="22"/>
  <c r="O21" i="39" s="1"/>
  <c r="M32" i="22"/>
  <c r="V6" i="35" s="1"/>
  <c r="M21" i="22"/>
  <c r="M33" i="22"/>
  <c r="V14" i="35" s="1"/>
  <c r="M40" i="22"/>
  <c r="M18" i="22"/>
  <c r="M30" i="22"/>
  <c r="M39" i="22"/>
  <c r="O22" i="39" s="1"/>
  <c r="M6" i="22"/>
  <c r="O17" i="39" s="1"/>
  <c r="U17" i="39" s="1" a="1"/>
  <c r="U17" i="39" s="1"/>
  <c r="AS14" i="39" s="1"/>
  <c r="M41" i="22"/>
  <c r="V12" i="35" s="1"/>
  <c r="M5" i="22"/>
  <c r="M3" i="22"/>
  <c r="O19" i="39" s="1"/>
  <c r="M24" i="22"/>
  <c r="M7" i="22"/>
  <c r="O9" i="22"/>
  <c r="O4" i="22"/>
  <c r="M34" i="27"/>
  <c r="O6" i="38" s="1"/>
  <c r="M4" i="27"/>
  <c r="O7" i="38" s="1"/>
  <c r="M22" i="27"/>
  <c r="M5" i="27"/>
  <c r="Q41" i="27"/>
  <c r="AP14" i="9" s="1"/>
  <c r="Q8" i="27"/>
  <c r="AP16" i="9" s="1"/>
  <c r="M41" i="27"/>
  <c r="V14" i="9" s="1"/>
  <c r="M3" i="27"/>
  <c r="O11" i="38" s="1"/>
  <c r="U11" i="38" s="1" a="1"/>
  <c r="U11" i="38" s="1"/>
  <c r="AS14" i="38" s="1"/>
  <c r="M8" i="27"/>
  <c r="V16" i="9" s="1"/>
  <c r="M44" i="27"/>
  <c r="M20" i="27"/>
  <c r="V19" i="9" s="1"/>
  <c r="M17" i="27"/>
  <c r="V6" i="9" s="1"/>
  <c r="M10" i="27"/>
  <c r="M6" i="27"/>
  <c r="M18" i="27"/>
  <c r="O10" i="38" s="1"/>
  <c r="M30" i="27"/>
  <c r="V7" i="9" s="1"/>
  <c r="M42" i="27"/>
  <c r="M7" i="27"/>
  <c r="M19" i="27"/>
  <c r="V23" i="9" s="1"/>
  <c r="M31" i="27"/>
  <c r="V8" i="9" s="1"/>
  <c r="M43" i="27"/>
  <c r="V9" i="9" s="1"/>
  <c r="M24" i="27"/>
  <c r="M16" i="27"/>
  <c r="M28" i="27"/>
  <c r="M9" i="27"/>
  <c r="O9" i="38" s="1"/>
  <c r="M21" i="27"/>
  <c r="V22" i="9" s="1"/>
  <c r="M33" i="27"/>
  <c r="V11" i="9" s="1"/>
  <c r="M45" i="27"/>
  <c r="M11" i="27"/>
  <c r="V17" i="9" s="1"/>
  <c r="AB17" i="9" s="1" a="1"/>
  <c r="AB17" i="9" s="1"/>
  <c r="AZ20" i="9" s="1"/>
  <c r="M23" i="27"/>
  <c r="M35" i="27"/>
  <c r="O19" i="38" s="1"/>
  <c r="M14" i="27"/>
  <c r="M26" i="27"/>
  <c r="V10" i="9" s="1"/>
  <c r="M38" i="27"/>
  <c r="M15" i="27"/>
  <c r="M27" i="27"/>
  <c r="V12" i="9" s="1"/>
  <c r="Q17" i="27"/>
  <c r="AP6" i="9" s="1"/>
  <c r="M13" i="27"/>
  <c r="V5" i="9" s="1"/>
  <c r="AK7" i="22"/>
  <c r="W6" i="37" s="1"/>
  <c r="AK19" i="22"/>
  <c r="W11" i="37" s="1"/>
  <c r="AK31" i="22"/>
  <c r="AK22" i="22"/>
  <c r="AK3" i="22"/>
  <c r="AK29" i="22"/>
  <c r="AK8" i="22"/>
  <c r="W3" i="41" s="1"/>
  <c r="AK20" i="22"/>
  <c r="W15" i="37" s="1"/>
  <c r="AK34" i="22"/>
  <c r="AK9" i="22"/>
  <c r="W14" i="37" s="1"/>
  <c r="AK21" i="22"/>
  <c r="AK33" i="22"/>
  <c r="AK10" i="22"/>
  <c r="W3" i="37" s="1"/>
  <c r="AK13" i="22"/>
  <c r="W6" i="41" s="1"/>
  <c r="AK11" i="22"/>
  <c r="AK23" i="22"/>
  <c r="W5" i="41" s="1"/>
  <c r="AK35" i="22"/>
  <c r="AK12" i="22"/>
  <c r="AK24" i="22"/>
  <c r="AK36" i="22"/>
  <c r="AK25" i="22"/>
  <c r="AK14" i="22"/>
  <c r="W12" i="37" s="1"/>
  <c r="AK15" i="22"/>
  <c r="W9" i="37" s="1"/>
  <c r="AK27" i="22"/>
  <c r="AK39" i="22"/>
  <c r="W8" i="41" s="1"/>
  <c r="AK4" i="22"/>
  <c r="AK6" i="22"/>
  <c r="W10" i="37" s="1"/>
  <c r="AK18" i="22"/>
  <c r="W13" i="37" s="1"/>
  <c r="AK30" i="22"/>
  <c r="W8" i="37" s="1"/>
  <c r="AM39" i="22"/>
  <c r="AP8" i="41" s="1"/>
  <c r="AI7" i="22"/>
  <c r="V6" i="37" s="1"/>
  <c r="AI19" i="22"/>
  <c r="V11" i="37" s="1"/>
  <c r="AI31" i="22"/>
  <c r="AI8" i="22"/>
  <c r="V3" i="41" s="1"/>
  <c r="AI20" i="22"/>
  <c r="V15" i="37" s="1"/>
  <c r="AI14" i="22"/>
  <c r="V12" i="37" s="1"/>
  <c r="AI9" i="22"/>
  <c r="V14" i="37" s="1"/>
  <c r="AI21" i="22"/>
  <c r="AI33" i="22"/>
  <c r="AI34" i="22"/>
  <c r="AI13" i="22"/>
  <c r="V6" i="41" s="1"/>
  <c r="AI15" i="22"/>
  <c r="V9" i="37" s="1"/>
  <c r="AI16" i="22"/>
  <c r="AI11" i="22"/>
  <c r="AI23" i="22"/>
  <c r="V5" i="41" s="1"/>
  <c r="AI12" i="22"/>
  <c r="AI24" i="22"/>
  <c r="AI36" i="22"/>
  <c r="AI3" i="22"/>
  <c r="AI38" i="22"/>
  <c r="V4" i="37" s="1"/>
  <c r="AI6" i="22"/>
  <c r="V10" i="37" s="1"/>
  <c r="AI4" i="22"/>
  <c r="AK5" i="22"/>
  <c r="AM3" i="22"/>
  <c r="AM5" i="22"/>
  <c r="AM18" i="22"/>
  <c r="AP13" i="37" s="1"/>
  <c r="AI5" i="22"/>
  <c r="AM30" i="22"/>
  <c r="AP8" i="37" s="1"/>
  <c r="AI29" i="22"/>
  <c r="AB3" i="37" a="1"/>
  <c r="AB3" i="37" s="1"/>
  <c r="AI39" i="22"/>
  <c r="V8" i="41" s="1"/>
  <c r="AI30" i="22"/>
  <c r="V8" i="37" s="1"/>
  <c r="AI37" i="22"/>
  <c r="AI41" i="22"/>
  <c r="AI27" i="22"/>
  <c r="AI18" i="22"/>
  <c r="V13" i="37" s="1"/>
  <c r="AM25" i="27"/>
  <c r="AP9" i="36" s="1"/>
  <c r="AQ3" i="27"/>
  <c r="AI23" i="27"/>
  <c r="AI6" i="27"/>
  <c r="AI35" i="27"/>
  <c r="AM11" i="27"/>
  <c r="AI13" i="27"/>
  <c r="AM23" i="27"/>
  <c r="AM35" i="27"/>
  <c r="AK11" i="27"/>
  <c r="AK37" i="27"/>
  <c r="W7" i="36" s="1"/>
  <c r="AI37" i="27"/>
  <c r="V7" i="36" s="1"/>
  <c r="AM13" i="27"/>
  <c r="AM26" i="27"/>
  <c r="AM37" i="27"/>
  <c r="AP7" i="36" s="1"/>
  <c r="AM4" i="27"/>
  <c r="AK28" i="27"/>
  <c r="AK29" i="27"/>
  <c r="AK30" i="27"/>
  <c r="AK14" i="27"/>
  <c r="W11" i="40" s="1"/>
  <c r="AB11" i="40" s="1" a="1"/>
  <c r="AB11" i="40" s="1"/>
  <c r="AZ4" i="40" s="1"/>
  <c r="AK15" i="27"/>
  <c r="AK16" i="27"/>
  <c r="AK27" i="27"/>
  <c r="AK18" i="27"/>
  <c r="AK26" i="27"/>
  <c r="AM27" i="27"/>
  <c r="AM16" i="27"/>
  <c r="AI19" i="27"/>
  <c r="AI20" i="27"/>
  <c r="AI21" i="27"/>
  <c r="V11" i="36" s="1"/>
  <c r="AB11" i="36" s="1" a="1"/>
  <c r="AB11" i="36" s="1"/>
  <c r="AZ14" i="36" s="1"/>
  <c r="AI22" i="27"/>
  <c r="V12" i="36" s="1"/>
  <c r="AB12" i="36" s="1" a="1"/>
  <c r="AB12" i="36" s="1"/>
  <c r="AZ8" i="36" s="1"/>
  <c r="AI31" i="27"/>
  <c r="V6" i="40" s="1"/>
  <c r="AB6" i="40" s="1" a="1"/>
  <c r="AB6" i="40" s="1"/>
  <c r="AZ3" i="40" s="1"/>
  <c r="AI32" i="27"/>
  <c r="V9" i="40" s="1"/>
  <c r="AB9" i="40" s="1" a="1"/>
  <c r="AB9" i="40" s="1"/>
  <c r="AZ6" i="40" s="1"/>
  <c r="AI33" i="27"/>
  <c r="AI8" i="27"/>
  <c r="V5" i="36" s="1"/>
  <c r="AB5" i="36" s="1" a="1"/>
  <c r="AB5" i="36" s="1"/>
  <c r="AI34" i="27"/>
  <c r="AI18" i="27"/>
  <c r="AI9" i="27"/>
  <c r="V8" i="40" s="1"/>
  <c r="AB8" i="40" s="1" a="1"/>
  <c r="AB8" i="40" s="1"/>
  <c r="AZ5" i="40" s="1"/>
  <c r="AI10" i="27"/>
  <c r="AM15" i="27"/>
  <c r="AM3" i="27"/>
  <c r="AP10" i="36" s="1"/>
  <c r="AM12" i="27"/>
  <c r="AP6" i="36" s="1"/>
  <c r="AK35" i="27"/>
  <c r="AI12" i="27"/>
  <c r="V6" i="36" s="1"/>
  <c r="AI27" i="27"/>
  <c r="AM29" i="27"/>
  <c r="AM28" i="27"/>
  <c r="AI25" i="27"/>
  <c r="V9" i="36" s="1"/>
  <c r="AI5" i="27"/>
  <c r="V4" i="36" s="1"/>
  <c r="AB4" i="36" s="1" a="1"/>
  <c r="AB4" i="36" s="1"/>
  <c r="AZ13" i="36" s="1"/>
  <c r="AM24" i="27"/>
  <c r="AK12" i="27"/>
  <c r="W6" i="36" s="1"/>
  <c r="AI24" i="27"/>
  <c r="AM14" i="27"/>
  <c r="AP11" i="40" s="1"/>
  <c r="AI17" i="27"/>
  <c r="M24" i="28"/>
  <c r="M36" i="28"/>
  <c r="M7" i="28"/>
  <c r="M19" i="28"/>
  <c r="Q19" i="39" s="1"/>
  <c r="M31" i="28"/>
  <c r="X6" i="35" s="1"/>
  <c r="AB6" i="35" s="1" a="1"/>
  <c r="AB6" i="35" s="1"/>
  <c r="M43" i="28"/>
  <c r="M11" i="28"/>
  <c r="M35" i="28"/>
  <c r="M47" i="28"/>
  <c r="Q6" i="39" s="1"/>
  <c r="M9" i="28"/>
  <c r="M21" i="28"/>
  <c r="M33" i="28"/>
  <c r="X8" i="35" s="1"/>
  <c r="M45" i="28"/>
  <c r="M26" i="28"/>
  <c r="M38" i="28"/>
  <c r="Q18" i="39" s="1"/>
  <c r="M16" i="28"/>
  <c r="X16" i="35" s="1"/>
  <c r="AB16" i="35" s="1" a="1"/>
  <c r="AB16" i="35" s="1"/>
  <c r="M40" i="28"/>
  <c r="X10" i="35" s="1"/>
  <c r="AB10" i="35" s="1" a="1"/>
  <c r="AB10" i="35" s="1"/>
  <c r="M6" i="28"/>
  <c r="M18" i="28"/>
  <c r="Q20" i="39" s="1"/>
  <c r="M42" i="28"/>
  <c r="Q22" i="39" s="1"/>
  <c r="M3" i="28"/>
  <c r="M17" i="28"/>
  <c r="M10" i="28"/>
  <c r="M29" i="28"/>
  <c r="Q5" i="39" s="1"/>
  <c r="M27" i="28"/>
  <c r="M20" i="28"/>
  <c r="U3" i="28"/>
  <c r="M22" i="28"/>
  <c r="Q7" i="39" s="1"/>
  <c r="M13" i="28"/>
  <c r="Q21" i="39" s="1"/>
  <c r="M39" i="28"/>
  <c r="Q9" i="39" s="1"/>
  <c r="M32" i="28"/>
  <c r="X14" i="35" s="1"/>
  <c r="M34" i="28"/>
  <c r="M25" i="28"/>
  <c r="M4" i="28"/>
  <c r="M46" i="28"/>
  <c r="X12" i="35" s="1"/>
  <c r="M41" i="28"/>
  <c r="X4" i="35" s="1"/>
  <c r="O7" i="26"/>
  <c r="M39" i="26"/>
  <c r="O26" i="26"/>
  <c r="M4" i="26"/>
  <c r="M37" i="26"/>
  <c r="O17" i="26"/>
  <c r="O41" i="26"/>
  <c r="O16" i="26"/>
  <c r="O28" i="26"/>
  <c r="O40" i="26"/>
  <c r="R17" i="38" s="1"/>
  <c r="U17" i="38" s="1" a="1"/>
  <c r="U17" i="38" s="1"/>
  <c r="O29" i="26"/>
  <c r="Y3" i="9" s="1"/>
  <c r="O8" i="26"/>
  <c r="O32" i="26"/>
  <c r="Y8" i="9" s="1"/>
  <c r="O44" i="26"/>
  <c r="O9" i="26"/>
  <c r="O33" i="26"/>
  <c r="Y21" i="9" s="1"/>
  <c r="O45" i="26"/>
  <c r="Y14" i="9" s="1"/>
  <c r="AB14" i="9" s="1" a="1"/>
  <c r="AB14" i="9" s="1"/>
  <c r="AZ11" i="9" s="1"/>
  <c r="O42" i="26"/>
  <c r="O22" i="26"/>
  <c r="Y10" i="9" s="1"/>
  <c r="O46" i="26"/>
  <c r="O6" i="26"/>
  <c r="O10" i="26"/>
  <c r="Y6" i="9" s="1"/>
  <c r="O30" i="26"/>
  <c r="O34" i="26"/>
  <c r="Y11" i="9" s="1"/>
  <c r="O35" i="26"/>
  <c r="R6" i="38" s="1"/>
  <c r="O36" i="26"/>
  <c r="R19" i="38" s="1"/>
  <c r="O18" i="26"/>
  <c r="O37" i="26"/>
  <c r="O38" i="26"/>
  <c r="R7" i="38" s="1"/>
  <c r="O19" i="26"/>
  <c r="O12" i="26"/>
  <c r="Y23" i="9" s="1"/>
  <c r="M19" i="26"/>
  <c r="M43" i="26"/>
  <c r="Q20" i="38" s="1"/>
  <c r="M6" i="26"/>
  <c r="M18" i="26"/>
  <c r="M30" i="26"/>
  <c r="M42" i="26"/>
  <c r="M7" i="26"/>
  <c r="M31" i="26"/>
  <c r="X5" i="9" s="1"/>
  <c r="AB5" i="9" s="1" a="1"/>
  <c r="AB5" i="9" s="1"/>
  <c r="AZ5" i="9" s="1"/>
  <c r="M10" i="26"/>
  <c r="X6" i="9" s="1"/>
  <c r="AB6" i="9" s="1" a="1"/>
  <c r="AB6" i="9" s="1"/>
  <c r="AZ15" i="9" s="1"/>
  <c r="M22" i="26"/>
  <c r="X10" i="9" s="1"/>
  <c r="AB10" i="9" s="1" a="1"/>
  <c r="AB10" i="9" s="1"/>
  <c r="AZ16" i="9" s="1"/>
  <c r="M34" i="26"/>
  <c r="X11" i="9" s="1"/>
  <c r="M46" i="26"/>
  <c r="M11" i="26"/>
  <c r="Q10" i="38" s="1"/>
  <c r="M23" i="26"/>
  <c r="X12" i="9" s="1"/>
  <c r="M47" i="26"/>
  <c r="M13" i="26"/>
  <c r="M8" i="26"/>
  <c r="M32" i="26"/>
  <c r="X8" i="9" s="1"/>
  <c r="M12" i="26"/>
  <c r="X23" i="9" s="1"/>
  <c r="M36" i="26"/>
  <c r="Q19" i="38" s="1"/>
  <c r="M20" i="26"/>
  <c r="M44" i="26"/>
  <c r="M25" i="26"/>
  <c r="Q9" i="38" s="1"/>
  <c r="M48" i="26"/>
  <c r="X9" i="9" s="1"/>
  <c r="M26" i="26"/>
  <c r="M49" i="26"/>
  <c r="M27" i="26"/>
  <c r="M50" i="26"/>
  <c r="M29" i="26"/>
  <c r="X3" i="9" s="1"/>
  <c r="M28" i="26"/>
  <c r="O23" i="26"/>
  <c r="Y12" i="9" s="1"/>
  <c r="M9" i="26"/>
  <c r="M15" i="26"/>
  <c r="X22" i="9" s="1"/>
  <c r="O13" i="26"/>
  <c r="M33" i="26"/>
  <c r="X21" i="9" s="1"/>
  <c r="M14" i="26"/>
  <c r="X19" i="9" s="1"/>
  <c r="M38" i="26"/>
  <c r="Q7" i="38" s="1"/>
  <c r="O25" i="26"/>
  <c r="R9" i="38" s="1"/>
  <c r="M16" i="26"/>
  <c r="O24" i="26"/>
  <c r="O49" i="26"/>
  <c r="M41" i="26"/>
  <c r="AI25" i="28"/>
  <c r="AW20" i="39"/>
  <c r="AI17" i="28"/>
  <c r="X15" i="37" s="1"/>
  <c r="AS20" i="39"/>
  <c r="AI13" i="28"/>
  <c r="X9" i="37" s="1"/>
  <c r="AI5" i="28"/>
  <c r="AS22" i="39"/>
  <c r="AV21" i="39"/>
  <c r="AK16" i="28"/>
  <c r="Y11" i="37" s="1"/>
  <c r="AK28" i="28"/>
  <c r="Y6" i="37" s="1"/>
  <c r="AK17" i="28"/>
  <c r="Y15" i="37" s="1"/>
  <c r="AK29" i="28"/>
  <c r="Y3" i="41" s="1"/>
  <c r="AK6" i="28"/>
  <c r="AK18" i="28"/>
  <c r="AK30" i="28"/>
  <c r="AK7" i="28"/>
  <c r="AK19" i="28"/>
  <c r="Y5" i="41" s="1"/>
  <c r="AK31" i="28"/>
  <c r="Y14" i="37" s="1"/>
  <c r="AK8" i="28"/>
  <c r="Y6" i="41" s="1"/>
  <c r="AK20" i="28"/>
  <c r="AK32" i="28"/>
  <c r="AK21" i="28"/>
  <c r="AK33" i="28"/>
  <c r="AK10" i="28"/>
  <c r="Y12" i="37" s="1"/>
  <c r="AK22" i="28"/>
  <c r="AK34" i="28"/>
  <c r="AK12" i="28"/>
  <c r="Y10" i="37" s="1"/>
  <c r="AK24" i="28"/>
  <c r="Y8" i="37" s="1"/>
  <c r="AK36" i="28"/>
  <c r="Y8" i="41" s="1"/>
  <c r="AK13" i="28"/>
  <c r="Y9" i="37" s="1"/>
  <c r="AK25" i="28"/>
  <c r="AK14" i="28"/>
  <c r="AK26" i="28"/>
  <c r="Y7" i="37" s="1"/>
  <c r="AK23" i="28"/>
  <c r="AK35" i="28"/>
  <c r="Y4" i="37" s="1"/>
  <c r="AK15" i="28"/>
  <c r="Y13" i="37" s="1"/>
  <c r="AQ3" i="28"/>
  <c r="AK11" i="28"/>
  <c r="AK27" i="28"/>
  <c r="AK5" i="28"/>
  <c r="AK4" i="28"/>
  <c r="AI6" i="28"/>
  <c r="AI30" i="28"/>
  <c r="AI7" i="28"/>
  <c r="AI19" i="28"/>
  <c r="X5" i="41" s="1"/>
  <c r="AI31" i="28"/>
  <c r="X14" i="37" s="1"/>
  <c r="AI8" i="28"/>
  <c r="X6" i="41" s="1"/>
  <c r="AB6" i="41" s="1" a="1"/>
  <c r="AB6" i="41" s="1"/>
  <c r="AZ5" i="41" s="1"/>
  <c r="AI20" i="28"/>
  <c r="AI32" i="28"/>
  <c r="AI21" i="28"/>
  <c r="AI33" i="28"/>
  <c r="AI10" i="28"/>
  <c r="X12" i="37" s="1"/>
  <c r="AI34" i="28"/>
  <c r="AI11" i="28"/>
  <c r="AI23" i="28"/>
  <c r="AI35" i="28"/>
  <c r="X4" i="37" s="1"/>
  <c r="AI12" i="28"/>
  <c r="X10" i="37" s="1"/>
  <c r="AB10" i="37" s="1" a="1"/>
  <c r="AB10" i="37" s="1"/>
  <c r="AI24" i="28"/>
  <c r="X8" i="37" s="1"/>
  <c r="AB8" i="37" s="1" a="1"/>
  <c r="AB8" i="37" s="1"/>
  <c r="AI36" i="28"/>
  <c r="X8" i="41" s="1"/>
  <c r="AI14" i="28"/>
  <c r="AI26" i="28"/>
  <c r="X7" i="37" s="1"/>
  <c r="AI15" i="28"/>
  <c r="X13" i="37" s="1"/>
  <c r="AI16" i="28"/>
  <c r="X11" i="37" s="1"/>
  <c r="AI28" i="28"/>
  <c r="X6" i="37" s="1"/>
  <c r="AI29" i="28"/>
  <c r="X3" i="41" s="1"/>
  <c r="AQ3" i="26"/>
  <c r="AM7" i="26"/>
  <c r="AQ4" i="36" s="1"/>
  <c r="AM33" i="26"/>
  <c r="AM19" i="26"/>
  <c r="BB7" i="40"/>
  <c r="BB10" i="40"/>
  <c r="AZ10" i="40"/>
  <c r="BD7" i="40"/>
  <c r="BE11" i="40"/>
  <c r="BE6" i="40"/>
  <c r="BB4" i="40"/>
  <c r="BD11" i="40"/>
  <c r="AZ11" i="40"/>
  <c r="BB11" i="40"/>
  <c r="AY4" i="40"/>
  <c r="AY7" i="40"/>
  <c r="BC4" i="40"/>
  <c r="BC7" i="40"/>
  <c r="AZ9" i="40"/>
  <c r="BD10" i="40"/>
  <c r="BB6" i="40"/>
  <c r="AZ7" i="40"/>
  <c r="BD6" i="40"/>
  <c r="AY10" i="40"/>
  <c r="BC10" i="40"/>
  <c r="BF8" i="40"/>
  <c r="BC7" i="41"/>
  <c r="AY3" i="41"/>
  <c r="BD8" i="41"/>
  <c r="AY6" i="41"/>
  <c r="AZ8" i="41"/>
  <c r="BB8" i="41"/>
  <c r="BC8" i="41"/>
  <c r="AZ7" i="41"/>
  <c r="BB4" i="41"/>
  <c r="BB7" i="41"/>
  <c r="BA6" i="41"/>
  <c r="BE8" i="41"/>
  <c r="AW16" i="38"/>
  <c r="AR5" i="38"/>
  <c r="AU19" i="38"/>
  <c r="AS16" i="38"/>
  <c r="AS19" i="38"/>
  <c r="AW12" i="38"/>
  <c r="AU5" i="38"/>
  <c r="AT17" i="38"/>
  <c r="AT20" i="38"/>
  <c r="AR12" i="38"/>
  <c r="AT19" i="38"/>
  <c r="AS18" i="38"/>
  <c r="AT5" i="38"/>
  <c r="AU12" i="38"/>
  <c r="AU18" i="38"/>
  <c r="AW18" i="38"/>
  <c r="AU16" i="38"/>
  <c r="AV16" i="38"/>
  <c r="AS17" i="38"/>
  <c r="AR16" i="38"/>
  <c r="AV18" i="38"/>
  <c r="AU17" i="38"/>
  <c r="AR19" i="38"/>
  <c r="AS20" i="38"/>
  <c r="AT16" i="38"/>
  <c r="AT18" i="38"/>
  <c r="AW17" i="38"/>
  <c r="AU20" i="38"/>
  <c r="AV19" i="38"/>
  <c r="AT12" i="38"/>
  <c r="AI28" i="12"/>
  <c r="AI4" i="12"/>
  <c r="D8" i="37" s="1"/>
  <c r="AI22" i="13"/>
  <c r="AI20" i="13"/>
  <c r="AK5" i="13"/>
  <c r="AK16" i="13"/>
  <c r="AI7" i="13"/>
  <c r="AQ3" i="13"/>
  <c r="AM3" i="13" s="1"/>
  <c r="AK11" i="13"/>
  <c r="AI19" i="13"/>
  <c r="AI8" i="13"/>
  <c r="AI5" i="13"/>
  <c r="AI14" i="13"/>
  <c r="AI21" i="13"/>
  <c r="AI4" i="13"/>
  <c r="AI13" i="13"/>
  <c r="AI15" i="13"/>
  <c r="AI17" i="13"/>
  <c r="AI3" i="13"/>
  <c r="AI16" i="13"/>
  <c r="AK14" i="13"/>
  <c r="AK23" i="13"/>
  <c r="AK4" i="13"/>
  <c r="AK25" i="13"/>
  <c r="AK9" i="13"/>
  <c r="AK13" i="13"/>
  <c r="AK15" i="13"/>
  <c r="AK20" i="13"/>
  <c r="AK8" i="13"/>
  <c r="AK7" i="13"/>
  <c r="AK26" i="13"/>
  <c r="AK19" i="13"/>
  <c r="AK10" i="13"/>
  <c r="AK27" i="13"/>
  <c r="AK3" i="13"/>
  <c r="AK18" i="13"/>
  <c r="AK17" i="13"/>
  <c r="AI18" i="13"/>
  <c r="AQ3" i="12"/>
  <c r="AK22" i="12"/>
  <c r="E11" i="37" s="1"/>
  <c r="AK11" i="12"/>
  <c r="AK23" i="12"/>
  <c r="AK28" i="12"/>
  <c r="AK19" i="12"/>
  <c r="AK9" i="12"/>
  <c r="E12" i="37" s="1"/>
  <c r="AK10" i="12"/>
  <c r="AK12" i="12"/>
  <c r="AK24" i="12"/>
  <c r="AK13" i="12"/>
  <c r="AK25" i="12"/>
  <c r="E10" i="37" s="1"/>
  <c r="AK14" i="12"/>
  <c r="E3" i="37" s="1"/>
  <c r="AK26" i="12"/>
  <c r="AK15" i="12"/>
  <c r="AK16" i="12"/>
  <c r="AK17" i="12"/>
  <c r="E4" i="37" s="1"/>
  <c r="AK18" i="12"/>
  <c r="AK7" i="12"/>
  <c r="E9" i="37" s="1"/>
  <c r="AK27" i="12"/>
  <c r="AK4" i="12"/>
  <c r="E8" i="37" s="1"/>
  <c r="AK29" i="12"/>
  <c r="E15" i="37" s="1"/>
  <c r="AK30" i="12"/>
  <c r="E7" i="37" s="1"/>
  <c r="AK5" i="12"/>
  <c r="E6" i="37" s="1"/>
  <c r="AI11" i="12"/>
  <c r="AI9" i="12"/>
  <c r="D12" i="37" s="1"/>
  <c r="AI21" i="12"/>
  <c r="AI10" i="12"/>
  <c r="AI23" i="12"/>
  <c r="AI12" i="12"/>
  <c r="AI25" i="12"/>
  <c r="D10" i="37" s="1"/>
  <c r="AI26" i="12"/>
  <c r="AI17" i="12"/>
  <c r="D4" i="37" s="1"/>
  <c r="AI18" i="12"/>
  <c r="AI19" i="12"/>
  <c r="AI7" i="14"/>
  <c r="AI20" i="14"/>
  <c r="AI9" i="14"/>
  <c r="AI11" i="14"/>
  <c r="AI24" i="14"/>
  <c r="AI25" i="14"/>
  <c r="AI14" i="14"/>
  <c r="AI19" i="14"/>
  <c r="AI10" i="14"/>
  <c r="AI26" i="14"/>
  <c r="AI15" i="14"/>
  <c r="AI31" i="14"/>
  <c r="AI32" i="14"/>
  <c r="AI21" i="14"/>
  <c r="AI22" i="14"/>
  <c r="AI23" i="14"/>
  <c r="AI12" i="14"/>
  <c r="AI6" i="14"/>
  <c r="AQ3" i="14"/>
  <c r="AM3" i="14"/>
  <c r="AI3" i="14"/>
  <c r="AI7" i="11"/>
  <c r="AI19" i="11"/>
  <c r="D10" i="36" s="1"/>
  <c r="AI31" i="11"/>
  <c r="D6" i="36" s="1"/>
  <c r="AI8" i="11"/>
  <c r="AI20" i="11"/>
  <c r="AI32" i="11"/>
  <c r="AI10" i="11"/>
  <c r="AI22" i="11"/>
  <c r="D4" i="36" s="1"/>
  <c r="AI11" i="11"/>
  <c r="AI23" i="11"/>
  <c r="AI12" i="11"/>
  <c r="AI24" i="11"/>
  <c r="D7" i="36" s="1"/>
  <c r="AI13" i="11"/>
  <c r="AI25" i="11"/>
  <c r="D9" i="36" s="1"/>
  <c r="AI14" i="11"/>
  <c r="AI26" i="11"/>
  <c r="AI18" i="11"/>
  <c r="AK14" i="11"/>
  <c r="AK26" i="11"/>
  <c r="AK15" i="11"/>
  <c r="AK27" i="11"/>
  <c r="E5" i="36" s="1"/>
  <c r="AK16" i="11"/>
  <c r="E11" i="36" s="1"/>
  <c r="AK28" i="11"/>
  <c r="AK17" i="11"/>
  <c r="AK29" i="11"/>
  <c r="E8" i="36" s="1"/>
  <c r="AK18" i="11"/>
  <c r="AK30" i="11"/>
  <c r="AK7" i="11"/>
  <c r="AK31" i="11"/>
  <c r="E6" i="36" s="1"/>
  <c r="AK8" i="11"/>
  <c r="AK20" i="11"/>
  <c r="AK32" i="11"/>
  <c r="AK21" i="11"/>
  <c r="AK19" i="11"/>
  <c r="E10" i="36" s="1"/>
  <c r="AM10" i="11"/>
  <c r="AI30" i="11"/>
  <c r="AK10" i="11"/>
  <c r="AK23" i="11"/>
  <c r="AK22" i="11"/>
  <c r="E4" i="36" s="1"/>
  <c r="AM11" i="11"/>
  <c r="AK6" i="36" a="1"/>
  <c r="AK6" i="36" s="1"/>
  <c r="BE16" i="35"/>
  <c r="BD15" i="35"/>
  <c r="BE14" i="35"/>
  <c r="O31" i="12"/>
  <c r="O25" i="12"/>
  <c r="O12" i="12"/>
  <c r="O32" i="12"/>
  <c r="O35" i="12"/>
  <c r="M31" i="12"/>
  <c r="O3" i="12"/>
  <c r="O28" i="12"/>
  <c r="O14" i="13"/>
  <c r="O27" i="13"/>
  <c r="O28" i="13"/>
  <c r="O41" i="13"/>
  <c r="O26" i="13"/>
  <c r="O38" i="13"/>
  <c r="O15" i="13"/>
  <c r="O39" i="13"/>
  <c r="O16" i="13"/>
  <c r="O40" i="13"/>
  <c r="O17" i="13"/>
  <c r="O29" i="13"/>
  <c r="O34" i="13"/>
  <c r="M9" i="13"/>
  <c r="M6" i="13"/>
  <c r="M18" i="13"/>
  <c r="M19" i="13"/>
  <c r="M31" i="13"/>
  <c r="M43" i="13"/>
  <c r="M21" i="13"/>
  <c r="M45" i="13"/>
  <c r="M3" i="13"/>
  <c r="O7" i="13"/>
  <c r="M25" i="13"/>
  <c r="M15" i="13"/>
  <c r="O19" i="13"/>
  <c r="M37" i="13"/>
  <c r="O11" i="13"/>
  <c r="O3" i="13"/>
  <c r="M10" i="13"/>
  <c r="O31" i="13"/>
  <c r="M49" i="13"/>
  <c r="O23" i="13"/>
  <c r="O13" i="13"/>
  <c r="M34" i="13"/>
  <c r="O9" i="13"/>
  <c r="O35" i="13"/>
  <c r="O25" i="13"/>
  <c r="M16" i="13"/>
  <c r="O6" i="13"/>
  <c r="O21" i="13"/>
  <c r="O37" i="13"/>
  <c r="M30" i="12"/>
  <c r="D14" i="35" s="1"/>
  <c r="J14" i="35" s="1" a="1"/>
  <c r="J14" i="35" s="1"/>
  <c r="AY7" i="35" s="1"/>
  <c r="M10" i="12"/>
  <c r="M27" i="12"/>
  <c r="D12" i="35" s="1"/>
  <c r="M9" i="12"/>
  <c r="M39" i="12"/>
  <c r="D6" i="35" s="1"/>
  <c r="J6" i="35" s="1" a="1"/>
  <c r="J6" i="35" s="1"/>
  <c r="AY15" i="35" s="1"/>
  <c r="M34" i="12"/>
  <c r="D20" i="35" s="1"/>
  <c r="M21" i="12"/>
  <c r="M35" i="12"/>
  <c r="D19" i="35" s="1"/>
  <c r="M46" i="12"/>
  <c r="D16" i="35" s="1"/>
  <c r="J16" i="35" s="1" a="1"/>
  <c r="J16" i="35" s="1"/>
  <c r="AY13" i="35" s="1"/>
  <c r="M28" i="12"/>
  <c r="M47" i="12"/>
  <c r="D4" i="35" s="1"/>
  <c r="J4" i="35" s="1" a="1"/>
  <c r="J4" i="35" s="1"/>
  <c r="AY4" i="35" s="1"/>
  <c r="M29" i="12"/>
  <c r="D18" i="35" s="1"/>
  <c r="M13" i="12"/>
  <c r="M8" i="12"/>
  <c r="M24" i="12"/>
  <c r="M42" i="12"/>
  <c r="M15" i="12"/>
  <c r="O9" i="12"/>
  <c r="O13" i="12"/>
  <c r="Q33" i="12"/>
  <c r="M6" i="12"/>
  <c r="M5" i="12"/>
  <c r="M32" i="12"/>
  <c r="M41" i="12"/>
  <c r="O4" i="12"/>
  <c r="O34" i="12"/>
  <c r="O6" i="12"/>
  <c r="O7" i="12"/>
  <c r="O33" i="12"/>
  <c r="O8" i="12"/>
  <c r="M48" i="12"/>
  <c r="D8" i="35" s="1"/>
  <c r="M11" i="12"/>
  <c r="M14" i="12"/>
  <c r="M7" i="12"/>
  <c r="M16" i="12"/>
  <c r="O5" i="12"/>
  <c r="O27" i="12"/>
  <c r="BD16" i="35"/>
  <c r="AY9" i="35"/>
  <c r="AZ8" i="35"/>
  <c r="BD18" i="35"/>
  <c r="BD21" i="35"/>
  <c r="BE17" i="35"/>
  <c r="AZ14" i="35"/>
  <c r="BE21" i="35"/>
  <c r="AZ19" i="35"/>
  <c r="AZ20" i="35"/>
  <c r="AZ13" i="35"/>
  <c r="BD20" i="35"/>
  <c r="AZ17" i="35"/>
  <c r="AZ15" i="35"/>
  <c r="AY18" i="35"/>
  <c r="AZ21" i="35"/>
  <c r="BE19" i="35"/>
  <c r="AZ9" i="35"/>
  <c r="AZ16" i="35"/>
  <c r="AY19" i="35"/>
  <c r="BE20" i="35"/>
  <c r="BE15" i="35"/>
  <c r="AK6" i="35" a="1"/>
  <c r="AK6" i="35" s="1"/>
  <c r="D6" i="9"/>
  <c r="O19" i="11"/>
  <c r="O38" i="11"/>
  <c r="M29" i="11"/>
  <c r="M48" i="11"/>
  <c r="O24" i="11"/>
  <c r="E16" i="9"/>
  <c r="E10" i="9"/>
  <c r="AG21" i="9"/>
  <c r="M19" i="11"/>
  <c r="AG9" i="9"/>
  <c r="M6" i="11"/>
  <c r="O9" i="11"/>
  <c r="O10" i="11"/>
  <c r="M50" i="11"/>
  <c r="AG7" i="9"/>
  <c r="O56" i="11"/>
  <c r="O37" i="11"/>
  <c r="AG4" i="9"/>
  <c r="AG18" i="9"/>
  <c r="AJ17" i="35" a="1"/>
  <c r="AJ17" i="35" s="1"/>
  <c r="AK17" i="35" a="1"/>
  <c r="AK17" i="35" s="1"/>
  <c r="AY21" i="9"/>
  <c r="BF21" i="9" s="1"/>
  <c r="M7" i="14"/>
  <c r="F10" i="9" s="1"/>
  <c r="M6" i="14"/>
  <c r="F7" i="9" s="1"/>
  <c r="M18" i="14"/>
  <c r="M30" i="14"/>
  <c r="M42" i="14"/>
  <c r="M19" i="14"/>
  <c r="M31" i="14"/>
  <c r="M43" i="14"/>
  <c r="F20" i="9" s="1"/>
  <c r="M22" i="14"/>
  <c r="M23" i="14"/>
  <c r="M24" i="14"/>
  <c r="M32" i="14"/>
  <c r="M33" i="14"/>
  <c r="M8" i="14"/>
  <c r="M34" i="14"/>
  <c r="M9" i="14"/>
  <c r="F8" i="9" s="1"/>
  <c r="M35" i="14"/>
  <c r="M10" i="14"/>
  <c r="F4" i="9" s="1"/>
  <c r="M36" i="14"/>
  <c r="M11" i="14"/>
  <c r="F11" i="9" s="1"/>
  <c r="M44" i="14"/>
  <c r="M12" i="14"/>
  <c r="M20" i="14"/>
  <c r="F14" i="9" s="1"/>
  <c r="M21" i="14"/>
  <c r="Q17" i="14"/>
  <c r="AH21" i="9" s="1"/>
  <c r="M25" i="14"/>
  <c r="M38" i="14"/>
  <c r="M40" i="14"/>
  <c r="Q41" i="14"/>
  <c r="Q43" i="14"/>
  <c r="AH20" i="9" s="1"/>
  <c r="M37" i="14"/>
  <c r="M39" i="14"/>
  <c r="F19" i="9" s="1"/>
  <c r="M17" i="14"/>
  <c r="F16" i="9" s="1"/>
  <c r="M3" i="14"/>
  <c r="F3" i="9" s="1"/>
  <c r="Q42" i="14"/>
  <c r="M41" i="14"/>
  <c r="M15" i="14"/>
  <c r="Q39" i="14"/>
  <c r="AH17" i="9" s="1"/>
  <c r="M4" i="14"/>
  <c r="Q19" i="14"/>
  <c r="O20" i="14"/>
  <c r="G14" i="9" s="1"/>
  <c r="O32" i="14"/>
  <c r="O44" i="14"/>
  <c r="O56" i="14"/>
  <c r="O9" i="14"/>
  <c r="G8" i="9" s="1"/>
  <c r="O21" i="14"/>
  <c r="O33" i="14"/>
  <c r="O57" i="14"/>
  <c r="G12" i="9" s="1"/>
  <c r="O10" i="14"/>
  <c r="G4" i="9" s="1"/>
  <c r="O36" i="14"/>
  <c r="O58" i="14"/>
  <c r="G5" i="9" s="1"/>
  <c r="O11" i="14"/>
  <c r="G11" i="9" s="1"/>
  <c r="O12" i="14"/>
  <c r="O38" i="14"/>
  <c r="O13" i="14"/>
  <c r="G13" i="9" s="1"/>
  <c r="O14" i="14"/>
  <c r="O22" i="14"/>
  <c r="O23" i="14"/>
  <c r="O48" i="14"/>
  <c r="O25" i="14"/>
  <c r="O50" i="14"/>
  <c r="O26" i="14"/>
  <c r="O34" i="14"/>
  <c r="O35" i="14"/>
  <c r="Q18" i="14"/>
  <c r="M27" i="14"/>
  <c r="Q26" i="14"/>
  <c r="Q16" i="14"/>
  <c r="AH18" i="9" s="1"/>
  <c r="M26" i="14"/>
  <c r="M16" i="14"/>
  <c r="F15" i="9" s="1"/>
  <c r="Q5" i="14"/>
  <c r="AH8" i="9" s="1"/>
  <c r="M5" i="14"/>
  <c r="F6" i="9" s="1"/>
  <c r="O17" i="14"/>
  <c r="G16" i="9" s="1"/>
  <c r="M13" i="14"/>
  <c r="F13" i="9" s="1"/>
  <c r="M14" i="14"/>
  <c r="M28" i="14"/>
  <c r="M29" i="14"/>
  <c r="M38" i="11"/>
  <c r="M10" i="11"/>
  <c r="M42" i="11"/>
  <c r="M55" i="11"/>
  <c r="M31" i="11"/>
  <c r="M56" i="11"/>
  <c r="M40" i="11"/>
  <c r="M47" i="11"/>
  <c r="M36" i="11"/>
  <c r="M25" i="11"/>
  <c r="M44" i="11"/>
  <c r="M45" i="11"/>
  <c r="M58" i="11"/>
  <c r="M49" i="11"/>
  <c r="M18" i="11"/>
  <c r="M17" i="11"/>
  <c r="M34" i="11"/>
  <c r="M33" i="11"/>
  <c r="M27" i="11"/>
  <c r="M21" i="11"/>
  <c r="M14" i="11"/>
  <c r="M7" i="11"/>
  <c r="M4" i="11"/>
  <c r="M43" i="11"/>
  <c r="M22" i="11"/>
  <c r="M57" i="11"/>
  <c r="M39" i="11"/>
  <c r="M52" i="11"/>
  <c r="M51" i="11"/>
  <c r="M16" i="11"/>
  <c r="Q40" i="11"/>
  <c r="O41" i="11"/>
  <c r="O58" i="11"/>
  <c r="O49" i="11"/>
  <c r="O18" i="11"/>
  <c r="O57" i="11"/>
  <c r="O51" i="11"/>
  <c r="O44" i="11"/>
  <c r="O53" i="11"/>
  <c r="O34" i="11"/>
  <c r="O52" i="11"/>
  <c r="O36" i="11"/>
  <c r="O25" i="11"/>
  <c r="O33" i="11"/>
  <c r="O21" i="11"/>
  <c r="O7" i="11"/>
  <c r="O43" i="11"/>
  <c r="O39" i="11"/>
  <c r="O4" i="11"/>
  <c r="O3" i="11"/>
  <c r="O11" i="11"/>
  <c r="O50" i="11"/>
  <c r="O29" i="11"/>
  <c r="O23" i="11"/>
  <c r="O22" i="11"/>
  <c r="O5" i="11"/>
  <c r="O6" i="11"/>
  <c r="O40" i="11"/>
  <c r="O15" i="11"/>
  <c r="M12" i="11"/>
  <c r="M3" i="11"/>
  <c r="Q29" i="11"/>
  <c r="Q56" i="11"/>
  <c r="Q6" i="11"/>
  <c r="Q24" i="11"/>
  <c r="Q12" i="11"/>
  <c r="M35" i="11"/>
  <c r="Q5" i="11"/>
  <c r="O8" i="11"/>
  <c r="M23" i="11"/>
  <c r="Q31" i="11"/>
  <c r="Q38" i="11"/>
  <c r="Q19" i="11"/>
  <c r="O31" i="11"/>
  <c r="U3" i="29"/>
  <c r="Q3" i="29"/>
  <c r="AK5" i="39" s="1"/>
  <c r="U3" i="27"/>
  <c r="Q3" i="27"/>
  <c r="AI11" i="38" s="1"/>
  <c r="U3" i="26"/>
  <c r="Q3" i="26"/>
  <c r="U3" i="24"/>
  <c r="AQ3" i="24"/>
  <c r="AM3" i="24"/>
  <c r="AI5" i="37" s="1"/>
  <c r="U3" i="22"/>
  <c r="Q37" i="22" s="1"/>
  <c r="AP20" i="35" s="1"/>
  <c r="AQ3" i="22"/>
  <c r="AM27" i="22" s="1"/>
  <c r="Q3" i="14"/>
  <c r="AH5" i="9" s="1"/>
  <c r="U3" i="14"/>
  <c r="Q25" i="14" s="1"/>
  <c r="U3" i="13"/>
  <c r="Q28" i="13" s="1"/>
  <c r="U3" i="12"/>
  <c r="Q7" i="12" s="1"/>
  <c r="Q25" i="12"/>
  <c r="AK3" i="11"/>
  <c r="AK5" i="11"/>
  <c r="AK6" i="11"/>
  <c r="AK4" i="11"/>
  <c r="M24" i="11"/>
  <c r="O20" i="11"/>
  <c r="AQ3" i="11"/>
  <c r="AI4" i="11"/>
  <c r="AI3" i="11"/>
  <c r="AI5" i="11"/>
  <c r="AI6" i="11"/>
  <c r="M37" i="11"/>
  <c r="M20" i="11"/>
  <c r="U3" i="11"/>
  <c r="Q3" i="11" s="1"/>
  <c r="AZ16" i="37" l="1"/>
  <c r="BA16" i="37"/>
  <c r="BA14" i="37"/>
  <c r="AZ7" i="36"/>
  <c r="AB7" i="36" a="1"/>
  <c r="AB7" i="36" s="1"/>
  <c r="AZ4" i="36" s="1"/>
  <c r="AZ6" i="36"/>
  <c r="AZ5" i="36"/>
  <c r="AB6" i="36" a="1"/>
  <c r="AB6" i="36" s="1"/>
  <c r="AZ11" i="36" s="1"/>
  <c r="Q5" i="36" a="1"/>
  <c r="Q5" i="36" s="1"/>
  <c r="Q7" i="36" a="1"/>
  <c r="Q7" i="36" s="1"/>
  <c r="Q10" i="36" a="1"/>
  <c r="Q10" i="36" s="1"/>
  <c r="BA7" i="36" s="1"/>
  <c r="J6" i="38" a="1"/>
  <c r="J6" i="38" s="1"/>
  <c r="AR15" i="38" s="1"/>
  <c r="J3" i="38" a="1"/>
  <c r="J3" i="38" s="1"/>
  <c r="AR9" i="38" s="1"/>
  <c r="Q30" i="23"/>
  <c r="AB3" i="38" s="1"/>
  <c r="Q31" i="23"/>
  <c r="AI20" i="9" s="1"/>
  <c r="Q23" i="23"/>
  <c r="AB19" i="38" s="1"/>
  <c r="Q28" i="23"/>
  <c r="Q29" i="23"/>
  <c r="AB4" i="38" s="1"/>
  <c r="Q32" i="23"/>
  <c r="AB6" i="38" s="1"/>
  <c r="Q24" i="23"/>
  <c r="AB11" i="38" s="1"/>
  <c r="Q25" i="23"/>
  <c r="AB14" i="38" s="1"/>
  <c r="Q26" i="23"/>
  <c r="AI10" i="9" s="1"/>
  <c r="Q27" i="23"/>
  <c r="AB20" i="38" s="1"/>
  <c r="Q17" i="23"/>
  <c r="AB8" i="38" s="1"/>
  <c r="J4" i="38" a="1"/>
  <c r="J4" i="38" s="1"/>
  <c r="AR13" i="38" s="1"/>
  <c r="J9" i="38" a="1"/>
  <c r="J9" i="38" s="1"/>
  <c r="AR6" i="38" s="1"/>
  <c r="Q16" i="23"/>
  <c r="AI21" i="9" s="1"/>
  <c r="J20" i="38" a="1"/>
  <c r="J20" i="38" s="1"/>
  <c r="AR8" i="38" s="1"/>
  <c r="Q15" i="23"/>
  <c r="Q22" i="23"/>
  <c r="J14" i="38" a="1"/>
  <c r="J14" i="38" s="1"/>
  <c r="AR11" i="38" s="1"/>
  <c r="AM9" i="29"/>
  <c r="AM6" i="29"/>
  <c r="AR15" i="37" s="1"/>
  <c r="AM21" i="29"/>
  <c r="AR6" i="41" s="1"/>
  <c r="AM8" i="29"/>
  <c r="AR7" i="37" s="1"/>
  <c r="AM22" i="29"/>
  <c r="AM7" i="29"/>
  <c r="AR11" i="37" s="1"/>
  <c r="AM19" i="29"/>
  <c r="AR7" i="41" s="1"/>
  <c r="AM20" i="29"/>
  <c r="AR5" i="41" s="1"/>
  <c r="AM10" i="29"/>
  <c r="AB9" i="36" a="1"/>
  <c r="AB9" i="36" s="1"/>
  <c r="AM13" i="21"/>
  <c r="AM12" i="21"/>
  <c r="AM22" i="21"/>
  <c r="AR11" i="40" s="1"/>
  <c r="AM14" i="21"/>
  <c r="AM5" i="21"/>
  <c r="AR5" i="36" s="1"/>
  <c r="AM6" i="21"/>
  <c r="AR8" i="36" s="1"/>
  <c r="AM4" i="21"/>
  <c r="AR4" i="36" s="1"/>
  <c r="AM21" i="21"/>
  <c r="AR8" i="40" s="1"/>
  <c r="AM3" i="21"/>
  <c r="AR10" i="36" s="1"/>
  <c r="AM11" i="21"/>
  <c r="AR9" i="36" s="1"/>
  <c r="AS9" i="36" s="1" a="1"/>
  <c r="AS9" i="36" s="1"/>
  <c r="AM8" i="21"/>
  <c r="AR12" i="36" s="1"/>
  <c r="AM9" i="21"/>
  <c r="AM20" i="21"/>
  <c r="AR5" i="40" s="1"/>
  <c r="AM19" i="21"/>
  <c r="AR6" i="40" s="1"/>
  <c r="AZ3" i="36"/>
  <c r="AM15" i="21"/>
  <c r="AR6" i="36" s="1"/>
  <c r="AB14" i="35" a="1"/>
  <c r="AB14" i="35" s="1"/>
  <c r="AZ7" i="35" s="1"/>
  <c r="Q9" i="29"/>
  <c r="AK9" i="39" s="1"/>
  <c r="Q21" i="29"/>
  <c r="AR14" i="35" s="1"/>
  <c r="Q10" i="29"/>
  <c r="AK6" i="39" s="1"/>
  <c r="Q22" i="29"/>
  <c r="AR9" i="35" s="1"/>
  <c r="Q11" i="29"/>
  <c r="Q23" i="29"/>
  <c r="AR19" i="35" s="1"/>
  <c r="Q6" i="29"/>
  <c r="AK4" i="39" s="1"/>
  <c r="Q18" i="29"/>
  <c r="AR4" i="35" s="1"/>
  <c r="Q7" i="29"/>
  <c r="Q19" i="29"/>
  <c r="AR8" i="35" s="1"/>
  <c r="Q8" i="29"/>
  <c r="Q20" i="29"/>
  <c r="AR18" i="35" s="1"/>
  <c r="Q17" i="29"/>
  <c r="AR6" i="35" s="1"/>
  <c r="Q4" i="29"/>
  <c r="AK20" i="39" s="1"/>
  <c r="Q16" i="29"/>
  <c r="AR12" i="35" s="1"/>
  <c r="AB19" i="35" a="1"/>
  <c r="AB19" i="35" s="1"/>
  <c r="AZ12" i="35" s="1"/>
  <c r="AB18" i="35" a="1"/>
  <c r="AB18" i="35" s="1"/>
  <c r="Q5" i="29"/>
  <c r="AK18" i="39" s="1"/>
  <c r="AB9" i="35" a="1"/>
  <c r="AB9" i="35" s="1"/>
  <c r="AZ10" i="35" s="1"/>
  <c r="AL4" i="38" a="1"/>
  <c r="AL4" i="38" s="1"/>
  <c r="AV13" i="38" s="1"/>
  <c r="AM4" i="38" a="1"/>
  <c r="AM4" i="38" s="1"/>
  <c r="AW13" i="38" s="1"/>
  <c r="U20" i="38" a="1"/>
  <c r="U20" i="38" s="1"/>
  <c r="AS8" i="38" s="1"/>
  <c r="Q6" i="21"/>
  <c r="AK8" i="38" s="1"/>
  <c r="Q18" i="21"/>
  <c r="AK6" i="38" s="1"/>
  <c r="Q30" i="21"/>
  <c r="AR16" i="9" s="1"/>
  <c r="AT16" i="9" s="1" a="1"/>
  <c r="AT16" i="9" s="1"/>
  <c r="BE9" i="9" s="1"/>
  <c r="Q35" i="21"/>
  <c r="AR10" i="9" s="1"/>
  <c r="Q16" i="21"/>
  <c r="AK18" i="38" s="1"/>
  <c r="Q24" i="21"/>
  <c r="AR8" i="9" s="1"/>
  <c r="Q19" i="21"/>
  <c r="AK3" i="38" s="1"/>
  <c r="Q33" i="21"/>
  <c r="AR19" i="9" s="1"/>
  <c r="Q10" i="21"/>
  <c r="AK7" i="38" s="1"/>
  <c r="Q8" i="21"/>
  <c r="Q21" i="21"/>
  <c r="AR6" i="9" s="1"/>
  <c r="Q13" i="21"/>
  <c r="AK20" i="38" s="1"/>
  <c r="Q27" i="21"/>
  <c r="AR22" i="9" s="1"/>
  <c r="Q15" i="21"/>
  <c r="Q23" i="21"/>
  <c r="AR5" i="9" s="1"/>
  <c r="Q32" i="21"/>
  <c r="AR21" i="9" s="1"/>
  <c r="Q7" i="21"/>
  <c r="AK9" i="38" s="1"/>
  <c r="Q12" i="21"/>
  <c r="AK14" i="38" s="1"/>
  <c r="Q25" i="21"/>
  <c r="AR14" i="9" s="1"/>
  <c r="Q34" i="21"/>
  <c r="AR18" i="9" s="1"/>
  <c r="Q26" i="21"/>
  <c r="AR11" i="9" s="1"/>
  <c r="Q9" i="21"/>
  <c r="AK19" i="38" s="1"/>
  <c r="Q36" i="21"/>
  <c r="AR20" i="9" s="1"/>
  <c r="Q14" i="21"/>
  <c r="Q22" i="21"/>
  <c r="AR9" i="9" s="1"/>
  <c r="Q20" i="21"/>
  <c r="AR3" i="9" s="1"/>
  <c r="Q31" i="21"/>
  <c r="AR23" i="9" s="1"/>
  <c r="Q11" i="21"/>
  <c r="AK11" i="38" s="1"/>
  <c r="AL11" i="38" s="1" a="1"/>
  <c r="AL11" i="38" s="1"/>
  <c r="AV14" i="38" s="1"/>
  <c r="Q28" i="21"/>
  <c r="AR7" i="9" s="1"/>
  <c r="Q3" i="21"/>
  <c r="AK17" i="38" s="1"/>
  <c r="U3" i="38" a="1"/>
  <c r="U3" i="38" s="1"/>
  <c r="AS9" i="38" s="1"/>
  <c r="AB11" i="9" a="1"/>
  <c r="AB11" i="9" s="1"/>
  <c r="AZ7" i="9" s="1"/>
  <c r="AB18" i="9" a="1"/>
  <c r="AB18" i="9" s="1"/>
  <c r="AZ18" i="9" s="1"/>
  <c r="AB16" i="9" a="1"/>
  <c r="AB16" i="9" s="1"/>
  <c r="AZ9" i="9" s="1"/>
  <c r="AB22" i="9" a="1"/>
  <c r="AB22" i="9" s="1"/>
  <c r="AZ8" i="9" s="1"/>
  <c r="Q29" i="21"/>
  <c r="AR12" i="9" s="1"/>
  <c r="U8" i="38" a="1"/>
  <c r="U8" i="38" s="1"/>
  <c r="AS10" i="38" s="1"/>
  <c r="AB8" i="9" a="1"/>
  <c r="AB8" i="9" s="1"/>
  <c r="AZ3" i="9" s="1"/>
  <c r="Q4" i="21"/>
  <c r="U4" i="38" a="1"/>
  <c r="U4" i="38" s="1"/>
  <c r="AS13" i="38" s="1"/>
  <c r="Q5" i="21"/>
  <c r="Q11" i="23"/>
  <c r="AI22" i="9" s="1"/>
  <c r="Q18" i="23"/>
  <c r="AI19" i="9" s="1"/>
  <c r="Q10" i="23"/>
  <c r="AI23" i="9" s="1"/>
  <c r="Q21" i="23"/>
  <c r="AB9" i="38" s="1"/>
  <c r="Q8" i="23"/>
  <c r="AI6" i="9" s="1"/>
  <c r="Q12" i="23"/>
  <c r="AI12" i="9" s="1"/>
  <c r="Q9" i="23"/>
  <c r="AI7" i="9" s="1"/>
  <c r="Q3" i="23"/>
  <c r="AI5" i="9" s="1"/>
  <c r="Q20" i="23"/>
  <c r="Q19" i="23"/>
  <c r="AB7" i="38" s="1"/>
  <c r="Q6" i="23"/>
  <c r="AI16" i="9" s="1"/>
  <c r="Q13" i="23"/>
  <c r="AI14" i="9" s="1"/>
  <c r="Q4" i="23"/>
  <c r="AI3" i="9" s="1"/>
  <c r="Q14" i="23"/>
  <c r="AB17" i="38" s="1"/>
  <c r="Q7" i="23"/>
  <c r="AI9" i="9" s="1"/>
  <c r="Q5" i="23"/>
  <c r="AI8" i="9" s="1"/>
  <c r="AJ8" i="40" a="1"/>
  <c r="AJ8" i="40" s="1"/>
  <c r="BB5" i="40" s="1"/>
  <c r="AK8" i="40" a="1"/>
  <c r="AK8" i="40" s="1"/>
  <c r="BC5" i="40" s="1"/>
  <c r="AY9" i="40"/>
  <c r="AK6" i="40" a="1"/>
  <c r="AK6" i="40" s="1"/>
  <c r="BC3" i="40" s="1"/>
  <c r="AJ6" i="40" a="1"/>
  <c r="AJ6" i="40" s="1"/>
  <c r="BB3" i="40" s="1"/>
  <c r="AJ5" i="40" a="1"/>
  <c r="AJ5" i="40" s="1"/>
  <c r="BB9" i="40" s="1"/>
  <c r="AK5" i="40" a="1"/>
  <c r="AK5" i="40" s="1"/>
  <c r="BC9" i="40" s="1"/>
  <c r="AR10" i="39"/>
  <c r="AR6" i="39"/>
  <c r="AR19" i="39"/>
  <c r="AR5" i="39"/>
  <c r="AD21" i="39" a="1"/>
  <c r="AD21" i="39" s="1"/>
  <c r="AU16" i="39" s="1"/>
  <c r="AC21" i="39" a="1"/>
  <c r="AC21" i="39" s="1"/>
  <c r="J8" i="35" a="1"/>
  <c r="J8" i="35" s="1"/>
  <c r="AY6" i="35" s="1"/>
  <c r="AR4" i="39"/>
  <c r="AC20" i="39" a="1"/>
  <c r="AC20" i="39" s="1"/>
  <c r="AT7" i="39" s="1"/>
  <c r="AD20" i="39" a="1"/>
  <c r="AD20" i="39" s="1"/>
  <c r="Q19" i="24"/>
  <c r="AI8" i="35" s="1"/>
  <c r="Q6" i="24"/>
  <c r="AB4" i="39" s="1"/>
  <c r="Q18" i="24"/>
  <c r="AI12" i="35" s="1"/>
  <c r="Q7" i="24"/>
  <c r="AB18" i="39" s="1"/>
  <c r="Q8" i="24"/>
  <c r="AB6" i="39" s="1"/>
  <c r="Q20" i="24"/>
  <c r="AI9" i="35" s="1"/>
  <c r="AK9" i="35" s="1" a="1"/>
  <c r="AK9" i="35" s="1"/>
  <c r="Q9" i="24"/>
  <c r="AB7" i="39" s="1"/>
  <c r="Q21" i="24"/>
  <c r="AI19" i="35" s="1"/>
  <c r="Q10" i="24"/>
  <c r="AB17" i="39" s="1"/>
  <c r="Q11" i="24"/>
  <c r="AB9" i="39" s="1"/>
  <c r="Q13" i="24"/>
  <c r="Q12" i="24"/>
  <c r="AB19" i="39" s="1"/>
  <c r="Q17" i="24"/>
  <c r="AI18" i="35" s="1"/>
  <c r="AJ18" i="35" s="1" a="1"/>
  <c r="AJ18" i="35" s="1"/>
  <c r="BB18" i="35" s="1"/>
  <c r="Q3" i="24"/>
  <c r="AB5" i="39" s="1"/>
  <c r="AM21" i="24"/>
  <c r="AI3" i="41" s="1"/>
  <c r="AM4" i="24"/>
  <c r="AI13" i="37" s="1"/>
  <c r="AM19" i="24"/>
  <c r="AI6" i="41" s="1"/>
  <c r="AM10" i="24"/>
  <c r="AI8" i="37" s="1"/>
  <c r="AM8" i="24"/>
  <c r="AI9" i="37" s="1"/>
  <c r="AJ9" i="37" s="1" a="1"/>
  <c r="AJ9" i="37" s="1"/>
  <c r="AM5" i="24"/>
  <c r="AI6" i="37" s="1"/>
  <c r="AM9" i="24"/>
  <c r="AI14" i="37" s="1"/>
  <c r="AM7" i="24"/>
  <c r="AI15" i="37" s="1"/>
  <c r="AM20" i="24"/>
  <c r="AM12" i="24"/>
  <c r="AI3" i="37" s="1"/>
  <c r="AM11" i="24"/>
  <c r="AM6" i="24"/>
  <c r="U6" i="38" a="1"/>
  <c r="U6" i="38" s="1"/>
  <c r="AS15" i="38" s="1"/>
  <c r="U10" i="38" a="1"/>
  <c r="U10" i="38" s="1"/>
  <c r="AS5" i="38" s="1"/>
  <c r="U7" i="38" a="1"/>
  <c r="U7" i="38" s="1"/>
  <c r="AS7" i="38" s="1"/>
  <c r="U6" i="39" a="1"/>
  <c r="U6" i="39" s="1"/>
  <c r="AS21" i="39" s="1"/>
  <c r="U7" i="39" a="1"/>
  <c r="U7" i="39" s="1"/>
  <c r="AS13" i="39" s="1"/>
  <c r="U4" i="39" a="1"/>
  <c r="U4" i="39" s="1"/>
  <c r="AS4" i="39" s="1"/>
  <c r="Q4" i="36" a="1"/>
  <c r="Q4" i="36" s="1"/>
  <c r="BA13" i="36" s="1"/>
  <c r="Q23" i="9" a="1"/>
  <c r="Q23" i="9" s="1"/>
  <c r="BA12" i="9" s="1"/>
  <c r="Q11" i="36" a="1"/>
  <c r="Q11" i="36" s="1"/>
  <c r="BA14" i="36" s="1"/>
  <c r="Q9" i="9" a="1"/>
  <c r="Q9" i="9" s="1"/>
  <c r="BA6" i="9" s="1"/>
  <c r="Q9" i="36" a="1"/>
  <c r="Q9" i="36" s="1"/>
  <c r="BA15" i="36" s="1"/>
  <c r="Q11" i="9" a="1"/>
  <c r="Q11" i="9" s="1"/>
  <c r="BA7" i="9" s="1"/>
  <c r="Q22" i="9" a="1"/>
  <c r="Q22" i="9" s="1"/>
  <c r="BA8" i="9" s="1"/>
  <c r="Q8" i="40" a="1"/>
  <c r="Q8" i="40" s="1"/>
  <c r="BA5" i="40" s="1"/>
  <c r="Q14" i="35" a="1"/>
  <c r="Q14" i="35" s="1"/>
  <c r="BA7" i="35" s="1"/>
  <c r="O9" i="35"/>
  <c r="Q9" i="35" s="1" a="1"/>
  <c r="Q9" i="35" s="1"/>
  <c r="BA10" i="35" s="1"/>
  <c r="O16" i="35"/>
  <c r="Q16" i="35" s="1" a="1"/>
  <c r="Q16" i="35" s="1"/>
  <c r="BA13" i="35" s="1"/>
  <c r="O12" i="37"/>
  <c r="Q12" i="37" s="1" a="1"/>
  <c r="Q12" i="37" s="1"/>
  <c r="O6" i="37"/>
  <c r="O11" i="37"/>
  <c r="Q11" i="37" s="1" a="1"/>
  <c r="Q11" i="37" s="1"/>
  <c r="BA8" i="37" s="1"/>
  <c r="O5" i="41"/>
  <c r="Q5" i="41" s="1" a="1"/>
  <c r="Q5" i="41" s="1"/>
  <c r="BA3" i="41" s="1"/>
  <c r="O18" i="35"/>
  <c r="Q18" i="35" s="1" a="1"/>
  <c r="Q18" i="35" s="1"/>
  <c r="BA5" i="35" s="1"/>
  <c r="O10" i="37"/>
  <c r="Q10" i="37" s="1" a="1"/>
  <c r="Q10" i="37" s="1"/>
  <c r="BA13" i="37" s="1"/>
  <c r="O12" i="35"/>
  <c r="Q12" i="35" s="1" a="1"/>
  <c r="Q12" i="35" s="1"/>
  <c r="BA3" i="35" s="1"/>
  <c r="O7" i="41"/>
  <c r="Q7" i="41" s="1" a="1"/>
  <c r="Q7" i="41" s="1"/>
  <c r="BA7" i="41" s="1"/>
  <c r="O20" i="35"/>
  <c r="Q20" i="35" s="1" a="1"/>
  <c r="Q20" i="35" s="1"/>
  <c r="BA11" i="35" s="1"/>
  <c r="O13" i="37"/>
  <c r="O8" i="35"/>
  <c r="Q8" i="35" s="1" a="1"/>
  <c r="Q8" i="35" s="1"/>
  <c r="BA6" i="35" s="1"/>
  <c r="Q9" i="37" a="1"/>
  <c r="Q9" i="37" s="1"/>
  <c r="BA9" i="37" s="1"/>
  <c r="Q8" i="37" a="1"/>
  <c r="Q8" i="37" s="1"/>
  <c r="Q6" i="37" a="1"/>
  <c r="Q6" i="37" s="1"/>
  <c r="BA4" i="37" s="1"/>
  <c r="Q13" i="37" a="1"/>
  <c r="Q13" i="37" s="1"/>
  <c r="Q15" i="37" a="1"/>
  <c r="Q15" i="37" s="1"/>
  <c r="BA6" i="37" s="1"/>
  <c r="Q4" i="37" a="1"/>
  <c r="Q4" i="37" s="1"/>
  <c r="AT20" i="35" a="1"/>
  <c r="AT20" i="35" s="1"/>
  <c r="BE11" i="35" s="1"/>
  <c r="AS20" i="35" a="1"/>
  <c r="AS20" i="35" s="1"/>
  <c r="BD11" i="35" s="1"/>
  <c r="AZ18" i="35"/>
  <c r="AZ5" i="35"/>
  <c r="U18" i="39" a="1"/>
  <c r="U18" i="39" s="1"/>
  <c r="AS17" i="39" s="1"/>
  <c r="U22" i="39" a="1"/>
  <c r="U22" i="39" s="1"/>
  <c r="U9" i="39" a="1"/>
  <c r="U9" i="39" s="1"/>
  <c r="U20" i="39" a="1"/>
  <c r="U20" i="39" s="1"/>
  <c r="AL4" i="39" a="1"/>
  <c r="AL4" i="39" s="1"/>
  <c r="AM4" i="39" a="1"/>
  <c r="AM4" i="39" s="1"/>
  <c r="U21" i="39" a="1"/>
  <c r="U21" i="39" s="1"/>
  <c r="Q32" i="22"/>
  <c r="AP6" i="35" s="1"/>
  <c r="Q8" i="22"/>
  <c r="AP8" i="35" s="1"/>
  <c r="Q34" i="22"/>
  <c r="Q33" i="22"/>
  <c r="AP14" i="35" s="1"/>
  <c r="Q10" i="22"/>
  <c r="AI18" i="39" s="1"/>
  <c r="Q21" i="22"/>
  <c r="Q39" i="22"/>
  <c r="AI22" i="39" s="1"/>
  <c r="Q11" i="22"/>
  <c r="AP10" i="35" s="1"/>
  <c r="Q23" i="22"/>
  <c r="AP16" i="35" s="1"/>
  <c r="Q40" i="22"/>
  <c r="Q31" i="22"/>
  <c r="AI5" i="39" s="1"/>
  <c r="Q6" i="22"/>
  <c r="AI17" i="39" s="1"/>
  <c r="Q15" i="22"/>
  <c r="Q20" i="22"/>
  <c r="AI21" i="39" s="1"/>
  <c r="Q24" i="22"/>
  <c r="Q19" i="22"/>
  <c r="Q29" i="22"/>
  <c r="Q35" i="22"/>
  <c r="Q18" i="22"/>
  <c r="Q7" i="22"/>
  <c r="Q41" i="22"/>
  <c r="AP12" i="35" s="1"/>
  <c r="Q13" i="22"/>
  <c r="Q36" i="22"/>
  <c r="Q16" i="22"/>
  <c r="U19" i="39" a="1"/>
  <c r="U19" i="39" s="1"/>
  <c r="Q26" i="22"/>
  <c r="AI7" i="39" s="1"/>
  <c r="AB4" i="35" a="1"/>
  <c r="AB4" i="35" s="1"/>
  <c r="AZ4" i="35" s="1"/>
  <c r="Q14" i="22"/>
  <c r="AB12" i="35" a="1"/>
  <c r="AB12" i="35" s="1"/>
  <c r="AZ3" i="35" s="1"/>
  <c r="U5" i="39" a="1"/>
  <c r="U5" i="39" s="1"/>
  <c r="AB8" i="35" a="1"/>
  <c r="AB8" i="35" s="1"/>
  <c r="AZ6" i="35" s="1"/>
  <c r="Q38" i="22"/>
  <c r="AI9" i="39" s="1"/>
  <c r="Q24" i="27"/>
  <c r="Q14" i="27"/>
  <c r="Q21" i="27"/>
  <c r="AP22" i="9" s="1"/>
  <c r="Q7" i="27"/>
  <c r="Q33" i="27"/>
  <c r="AP11" i="9" s="1"/>
  <c r="Q9" i="27"/>
  <c r="AI9" i="38" s="1"/>
  <c r="Q28" i="27"/>
  <c r="Q15" i="27"/>
  <c r="Q37" i="27"/>
  <c r="AI17" i="38" s="1"/>
  <c r="Q16" i="27"/>
  <c r="Q27" i="27"/>
  <c r="AP12" i="9" s="1"/>
  <c r="Q19" i="27"/>
  <c r="AP23" i="9" s="1"/>
  <c r="Q45" i="27"/>
  <c r="Q43" i="27"/>
  <c r="AP9" i="9" s="1"/>
  <c r="Q38" i="27"/>
  <c r="Q31" i="27"/>
  <c r="AP8" i="9" s="1"/>
  <c r="Q26" i="27"/>
  <c r="AP10" i="9" s="1"/>
  <c r="Q23" i="27"/>
  <c r="AB23" i="9" a="1"/>
  <c r="AB23" i="9" s="1"/>
  <c r="AZ12" i="9" s="1"/>
  <c r="Q11" i="27"/>
  <c r="AP17" i="9" s="1"/>
  <c r="Q32" i="27"/>
  <c r="AP21" i="9" s="1"/>
  <c r="Q42" i="27"/>
  <c r="AX17" i="38"/>
  <c r="AB19" i="9" a="1"/>
  <c r="AB19" i="9" s="1"/>
  <c r="AZ17" i="9" s="1"/>
  <c r="AB12" i="9" a="1"/>
  <c r="AB12" i="9" s="1"/>
  <c r="AZ10" i="9" s="1"/>
  <c r="Q22" i="27"/>
  <c r="Q20" i="27"/>
  <c r="AP19" i="9" s="1"/>
  <c r="Q6" i="27"/>
  <c r="AB9" i="9" a="1"/>
  <c r="AB9" i="9" s="1"/>
  <c r="AZ6" i="9" s="1"/>
  <c r="Q30" i="27"/>
  <c r="AP7" i="9" s="1"/>
  <c r="Q35" i="27"/>
  <c r="AI19" i="38" s="1"/>
  <c r="Q18" i="27"/>
  <c r="AI10" i="38" s="1"/>
  <c r="AB15" i="37" a="1"/>
  <c r="AB15" i="37" s="1"/>
  <c r="AM7" i="22"/>
  <c r="AP6" i="37" s="1"/>
  <c r="AM19" i="22"/>
  <c r="AP11" i="37" s="1"/>
  <c r="AM31" i="22"/>
  <c r="AM29" i="22"/>
  <c r="AM8" i="22"/>
  <c r="AP3" i="41" s="1"/>
  <c r="AM20" i="22"/>
  <c r="AP15" i="37" s="1"/>
  <c r="AM13" i="22"/>
  <c r="AP6" i="41" s="1"/>
  <c r="AM9" i="22"/>
  <c r="AP14" i="37" s="1"/>
  <c r="AM21" i="22"/>
  <c r="AM33" i="22"/>
  <c r="AM10" i="22"/>
  <c r="AP3" i="37" s="1"/>
  <c r="AM34" i="22"/>
  <c r="AM11" i="22"/>
  <c r="AM23" i="22"/>
  <c r="AP5" i="41" s="1"/>
  <c r="AM12" i="22"/>
  <c r="AM24" i="22"/>
  <c r="AM36" i="22"/>
  <c r="AM14" i="22"/>
  <c r="AP12" i="37" s="1"/>
  <c r="AM15" i="22"/>
  <c r="AP9" i="37" s="1"/>
  <c r="AM25" i="22"/>
  <c r="AM6" i="22"/>
  <c r="AP10" i="37" s="1"/>
  <c r="AB9" i="37" a="1"/>
  <c r="AB9" i="37" s="1"/>
  <c r="AZ9" i="37" s="1"/>
  <c r="AM4" i="22"/>
  <c r="AT10" i="36" a="1"/>
  <c r="AT10" i="36" s="1"/>
  <c r="AS10" i="36" a="1"/>
  <c r="AS10" i="36" s="1"/>
  <c r="AM22" i="27"/>
  <c r="AP12" i="36" s="1"/>
  <c r="AM34" i="27"/>
  <c r="AM5" i="27"/>
  <c r="AP4" i="36" s="1"/>
  <c r="AM18" i="27"/>
  <c r="AM30" i="27"/>
  <c r="AM6" i="27"/>
  <c r="AM33" i="27"/>
  <c r="AM31" i="27"/>
  <c r="AP6" i="40" s="1"/>
  <c r="AM10" i="27"/>
  <c r="AM21" i="27"/>
  <c r="AP11" i="36" s="1"/>
  <c r="AM8" i="27"/>
  <c r="AP5" i="36" s="1"/>
  <c r="AM20" i="27"/>
  <c r="AM19" i="27"/>
  <c r="AM9" i="27"/>
  <c r="AP8" i="40" s="1"/>
  <c r="Q20" i="28"/>
  <c r="Q32" i="28"/>
  <c r="AQ14" i="35" s="1"/>
  <c r="Q35" i="28"/>
  <c r="Q10" i="28"/>
  <c r="Q26" i="28"/>
  <c r="Q25" i="28"/>
  <c r="Q13" i="28"/>
  <c r="AJ21" i="39" s="1"/>
  <c r="Q40" i="28"/>
  <c r="AQ10" i="35" s="1"/>
  <c r="Q17" i="28"/>
  <c r="Q11" i="28"/>
  <c r="Q33" i="28"/>
  <c r="AQ8" i="35" s="1"/>
  <c r="Q12" i="28"/>
  <c r="Q27" i="28"/>
  <c r="Q21" i="28"/>
  <c r="Q22" i="28"/>
  <c r="AJ7" i="39" s="1"/>
  <c r="Q46" i="28"/>
  <c r="AQ12" i="35" s="1"/>
  <c r="Q45" i="28"/>
  <c r="Q39" i="28"/>
  <c r="AJ9" i="39" s="1"/>
  <c r="Q16" i="28"/>
  <c r="AQ16" i="35" s="1"/>
  <c r="Q41" i="28"/>
  <c r="AQ4" i="35" s="1"/>
  <c r="Q47" i="28"/>
  <c r="AJ6" i="39" s="1"/>
  <c r="Q9" i="28"/>
  <c r="Q15" i="28"/>
  <c r="AQ18" i="35" s="1"/>
  <c r="Q42" i="28"/>
  <c r="AJ22" i="39" s="1"/>
  <c r="Q43" i="28"/>
  <c r="Q36" i="28"/>
  <c r="Q18" i="28"/>
  <c r="AJ20" i="39" s="1"/>
  <c r="Q31" i="28"/>
  <c r="AQ6" i="35" s="1"/>
  <c r="Q34" i="28"/>
  <c r="Q6" i="28"/>
  <c r="Q19" i="28"/>
  <c r="AJ19" i="39" s="1"/>
  <c r="Q29" i="28"/>
  <c r="AJ5" i="39" s="1"/>
  <c r="Q38" i="28"/>
  <c r="AJ18" i="39" s="1"/>
  <c r="Q4" i="28"/>
  <c r="AX20" i="39"/>
  <c r="Q34" i="26"/>
  <c r="AQ11" i="9" s="1"/>
  <c r="Q8" i="26"/>
  <c r="Q32" i="26"/>
  <c r="AQ8" i="9" s="1"/>
  <c r="Q44" i="26"/>
  <c r="Q22" i="26"/>
  <c r="AQ10" i="9" s="1"/>
  <c r="Q46" i="26"/>
  <c r="Q47" i="26"/>
  <c r="Q48" i="26"/>
  <c r="AQ9" i="9" s="1"/>
  <c r="Q6" i="26"/>
  <c r="Q12" i="26"/>
  <c r="AQ23" i="9" s="1"/>
  <c r="Q10" i="26"/>
  <c r="AQ6" i="9" s="1"/>
  <c r="Q39" i="26"/>
  <c r="Q45" i="26"/>
  <c r="AQ14" i="9" s="1"/>
  <c r="Q27" i="26"/>
  <c r="Q30" i="26"/>
  <c r="Q18" i="26"/>
  <c r="Q9" i="26"/>
  <c r="Q16" i="26"/>
  <c r="Q49" i="26"/>
  <c r="Q13" i="26"/>
  <c r="Q15" i="26"/>
  <c r="AQ22" i="9" s="1"/>
  <c r="Q36" i="26"/>
  <c r="AJ19" i="38" s="1"/>
  <c r="Q42" i="26"/>
  <c r="Q37" i="26"/>
  <c r="Q33" i="26"/>
  <c r="AQ21" i="9" s="1"/>
  <c r="Q41" i="26"/>
  <c r="Q25" i="26"/>
  <c r="AJ9" i="38" s="1"/>
  <c r="Q19" i="26"/>
  <c r="Q43" i="26"/>
  <c r="AJ20" i="38" s="1"/>
  <c r="Q29" i="26"/>
  <c r="AQ3" i="9" s="1"/>
  <c r="Q28" i="26"/>
  <c r="Q26" i="26"/>
  <c r="U9" i="38" a="1"/>
  <c r="U9" i="38" s="1"/>
  <c r="AS6" i="38" s="1"/>
  <c r="Q38" i="26"/>
  <c r="AJ7" i="38" s="1"/>
  <c r="AS3" i="38"/>
  <c r="Q17" i="26"/>
  <c r="Q50" i="26"/>
  <c r="AB21" i="9" a="1"/>
  <c r="AB21" i="9" s="1"/>
  <c r="AZ14" i="9" s="1"/>
  <c r="AB3" i="9" a="1"/>
  <c r="AB3" i="9" s="1"/>
  <c r="AZ4" i="9" s="1"/>
  <c r="Q23" i="26"/>
  <c r="AQ12" i="9" s="1"/>
  <c r="Q7" i="26"/>
  <c r="Q14" i="26"/>
  <c r="AQ19" i="9" s="1"/>
  <c r="Q40" i="26"/>
  <c r="AJ17" i="38" s="1"/>
  <c r="U19" i="38" a="1"/>
  <c r="U19" i="38" s="1"/>
  <c r="AS4" i="38" s="1"/>
  <c r="Q31" i="26"/>
  <c r="AQ5" i="9" s="1"/>
  <c r="AB11" i="37" a="1"/>
  <c r="AB11" i="37" s="1"/>
  <c r="AZ8" i="37" s="1"/>
  <c r="AB6" i="37" a="1"/>
  <c r="AB6" i="37" s="1"/>
  <c r="AB5" i="41" a="1"/>
  <c r="AB5" i="41" s="1"/>
  <c r="AZ3" i="41" s="1"/>
  <c r="AM6" i="28"/>
  <c r="AM30" i="28"/>
  <c r="AM7" i="28"/>
  <c r="AM19" i="28"/>
  <c r="AQ5" i="41" s="1"/>
  <c r="AM31" i="28"/>
  <c r="AQ14" i="37" s="1"/>
  <c r="AM8" i="28"/>
  <c r="AQ6" i="41" s="1"/>
  <c r="AM20" i="28"/>
  <c r="AM32" i="28"/>
  <c r="AM12" i="28"/>
  <c r="AQ10" i="37" s="1"/>
  <c r="AM21" i="28"/>
  <c r="AM28" i="28"/>
  <c r="AQ6" i="37" s="1"/>
  <c r="AM35" i="28"/>
  <c r="AQ4" i="37" s="1"/>
  <c r="AM16" i="28"/>
  <c r="AQ11" i="37" s="1"/>
  <c r="AM15" i="28"/>
  <c r="AQ13" i="37" s="1"/>
  <c r="AM3" i="28"/>
  <c r="AQ3" i="37" s="1"/>
  <c r="AM33" i="28"/>
  <c r="AM36" i="28"/>
  <c r="AQ8" i="41" s="1"/>
  <c r="AM26" i="28"/>
  <c r="AQ7" i="37" s="1"/>
  <c r="AM14" i="28"/>
  <c r="AM23" i="28"/>
  <c r="AM11" i="28"/>
  <c r="AM10" i="28"/>
  <c r="AQ12" i="37" s="1"/>
  <c r="AM24" i="28"/>
  <c r="AQ8" i="37" s="1"/>
  <c r="AM34" i="28"/>
  <c r="AB8" i="41" a="1"/>
  <c r="AB8" i="41" s="1"/>
  <c r="AZ4" i="41" s="1"/>
  <c r="AB14" i="37" a="1"/>
  <c r="AB14" i="37" s="1"/>
  <c r="AZ15" i="37" s="1"/>
  <c r="AB4" i="37" a="1"/>
  <c r="AB4" i="37" s="1"/>
  <c r="AZ7" i="37" s="1"/>
  <c r="AM29" i="28"/>
  <c r="AQ3" i="41" s="1"/>
  <c r="AM4" i="28"/>
  <c r="AM17" i="28"/>
  <c r="AQ15" i="37" s="1"/>
  <c r="AB3" i="41" a="1"/>
  <c r="AB3" i="41" s="1"/>
  <c r="AZ6" i="41" s="1"/>
  <c r="AM25" i="28"/>
  <c r="AB12" i="37" a="1"/>
  <c r="AB12" i="37" s="1"/>
  <c r="AM13" i="28"/>
  <c r="AQ9" i="37" s="1"/>
  <c r="AM5" i="28"/>
  <c r="AB13" i="37" a="1"/>
  <c r="AB13" i="37" s="1"/>
  <c r="AB7" i="37" a="1"/>
  <c r="AB7" i="37" s="1"/>
  <c r="AZ14" i="37" s="1"/>
  <c r="AM14" i="26"/>
  <c r="AM35" i="26"/>
  <c r="AQ7" i="36" s="1"/>
  <c r="AM13" i="26"/>
  <c r="AM23" i="26"/>
  <c r="AM29" i="26"/>
  <c r="AQ6" i="40" s="1"/>
  <c r="AM11" i="26"/>
  <c r="AM17" i="26"/>
  <c r="AQ12" i="36" s="1"/>
  <c r="AM18" i="26"/>
  <c r="AQ5" i="36" s="1"/>
  <c r="AM3" i="26"/>
  <c r="AM28" i="26"/>
  <c r="AM27" i="26"/>
  <c r="AM16" i="26"/>
  <c r="AQ11" i="36" s="1"/>
  <c r="AM26" i="26"/>
  <c r="AM9" i="26"/>
  <c r="AM15" i="26"/>
  <c r="AM25" i="26"/>
  <c r="AM32" i="26"/>
  <c r="AM5" i="26"/>
  <c r="AM4" i="26"/>
  <c r="AQ6" i="36" s="1"/>
  <c r="AM6" i="26"/>
  <c r="AM20" i="26"/>
  <c r="AM31" i="26"/>
  <c r="AM34" i="26"/>
  <c r="AM12" i="26"/>
  <c r="AM8" i="26"/>
  <c r="AM10" i="26"/>
  <c r="AQ11" i="40" s="1"/>
  <c r="AM24" i="26"/>
  <c r="BF11" i="40"/>
  <c r="BF7" i="40"/>
  <c r="BF6" i="40"/>
  <c r="BF8" i="41"/>
  <c r="AX18" i="38"/>
  <c r="AX16" i="38"/>
  <c r="AX19" i="38"/>
  <c r="AM19" i="13"/>
  <c r="AM17" i="13"/>
  <c r="AH7" i="37" s="1"/>
  <c r="AM16" i="13"/>
  <c r="AH15" i="37" s="1"/>
  <c r="AM18" i="13"/>
  <c r="AH8" i="37" s="1"/>
  <c r="AM7" i="13"/>
  <c r="AM8" i="13"/>
  <c r="AM20" i="13"/>
  <c r="AM5" i="13"/>
  <c r="AM15" i="13"/>
  <c r="AH12" i="37" s="1"/>
  <c r="AM4" i="13"/>
  <c r="AM14" i="13"/>
  <c r="AM13" i="13"/>
  <c r="AH13" i="37" s="1"/>
  <c r="AJ13" i="37" s="1" a="1"/>
  <c r="AJ13" i="37" s="1"/>
  <c r="BB10" i="37" s="1"/>
  <c r="AM6" i="13"/>
  <c r="AJ15" i="37" a="1"/>
  <c r="AJ15" i="37" s="1"/>
  <c r="G13" i="37"/>
  <c r="F13" i="37"/>
  <c r="G7" i="37"/>
  <c r="F7" i="37"/>
  <c r="F9" i="37"/>
  <c r="G9" i="37"/>
  <c r="F6" i="37"/>
  <c r="G6" i="37"/>
  <c r="G3" i="37"/>
  <c r="F3" i="37"/>
  <c r="F8" i="37"/>
  <c r="G8" i="37"/>
  <c r="G12" i="37"/>
  <c r="F12" i="37"/>
  <c r="F15" i="37"/>
  <c r="G15" i="37"/>
  <c r="AM22" i="12"/>
  <c r="AG11" i="37" s="1"/>
  <c r="AM28" i="12"/>
  <c r="AM9" i="12"/>
  <c r="AG12" i="37" s="1"/>
  <c r="AM10" i="12"/>
  <c r="AM11" i="12"/>
  <c r="AM23" i="12"/>
  <c r="AM18" i="12"/>
  <c r="AM12" i="12"/>
  <c r="AM25" i="12"/>
  <c r="AG10" i="37" s="1"/>
  <c r="AM26" i="12"/>
  <c r="AM19" i="12"/>
  <c r="AM17" i="12"/>
  <c r="AG4" i="37" s="1"/>
  <c r="AJ4" i="37" s="1" a="1"/>
  <c r="AJ4" i="37" s="1"/>
  <c r="AM4" i="12"/>
  <c r="AG8" i="37" s="1"/>
  <c r="AM25" i="14"/>
  <c r="AM26" i="14"/>
  <c r="AM14" i="14"/>
  <c r="AM15" i="14"/>
  <c r="AM23" i="14"/>
  <c r="AM21" i="14"/>
  <c r="AM32" i="14"/>
  <c r="AM20" i="14"/>
  <c r="AM30" i="14"/>
  <c r="AM24" i="14"/>
  <c r="AM12" i="14"/>
  <c r="AM9" i="14"/>
  <c r="AM19" i="14"/>
  <c r="AM28" i="14"/>
  <c r="AM31" i="14"/>
  <c r="AM7" i="14"/>
  <c r="AM5" i="14"/>
  <c r="AM11" i="14"/>
  <c r="AM6" i="14"/>
  <c r="AM10" i="14"/>
  <c r="AM22" i="14"/>
  <c r="AM26" i="11"/>
  <c r="AM14" i="11"/>
  <c r="AM28" i="11"/>
  <c r="AM31" i="11"/>
  <c r="AM19" i="11"/>
  <c r="AM7" i="11"/>
  <c r="AM17" i="11"/>
  <c r="AM16" i="11"/>
  <c r="AM22" i="11"/>
  <c r="AM32" i="11"/>
  <c r="AM30" i="11"/>
  <c r="AM20" i="11"/>
  <c r="AM8" i="11"/>
  <c r="AM23" i="11"/>
  <c r="AM18" i="11"/>
  <c r="AM12" i="11"/>
  <c r="AM24" i="11"/>
  <c r="AY8" i="35"/>
  <c r="Q13" i="12"/>
  <c r="Q32" i="12"/>
  <c r="Q11" i="12"/>
  <c r="Q12" i="12"/>
  <c r="Q6" i="12"/>
  <c r="Q37" i="13"/>
  <c r="Q14" i="13"/>
  <c r="Q17" i="13"/>
  <c r="Q13" i="13"/>
  <c r="Q31" i="13"/>
  <c r="Q12" i="13"/>
  <c r="Q19" i="13"/>
  <c r="Q41" i="13"/>
  <c r="Q9" i="13"/>
  <c r="Q29" i="13"/>
  <c r="Q6" i="13"/>
  <c r="Q5" i="13"/>
  <c r="Q38" i="13"/>
  <c r="Q40" i="13"/>
  <c r="Q18" i="13"/>
  <c r="Q21" i="13"/>
  <c r="Q36" i="13"/>
  <c r="Q16" i="13"/>
  <c r="Q35" i="13"/>
  <c r="Q10" i="13"/>
  <c r="Q11" i="13"/>
  <c r="Q15" i="13"/>
  <c r="Q25" i="13"/>
  <c r="Q23" i="13"/>
  <c r="Q24" i="13"/>
  <c r="Q3" i="13"/>
  <c r="Q34" i="13"/>
  <c r="Q8" i="12"/>
  <c r="Q31" i="12"/>
  <c r="Q27" i="12"/>
  <c r="Q28" i="12"/>
  <c r="Q30" i="12"/>
  <c r="Q35" i="12"/>
  <c r="Q10" i="12"/>
  <c r="Q9" i="12"/>
  <c r="Q34" i="12"/>
  <c r="Q29" i="12"/>
  <c r="Q3" i="12"/>
  <c r="Q26" i="12"/>
  <c r="Q5" i="12"/>
  <c r="AG3" i="9"/>
  <c r="AK21" i="35" a="1"/>
  <c r="AK21" i="35" s="1"/>
  <c r="AJ21" i="35" a="1"/>
  <c r="AJ21" i="35" s="1"/>
  <c r="J7" i="36" a="1"/>
  <c r="J7" i="36" s="1"/>
  <c r="E7" i="9"/>
  <c r="J7" i="9" s="1" a="1"/>
  <c r="J7" i="9" s="1"/>
  <c r="AY6" i="9" s="1"/>
  <c r="AK4" i="35" a="1"/>
  <c r="AK4" i="35" s="1"/>
  <c r="AJ4" i="35" a="1"/>
  <c r="AJ4" i="35" s="1"/>
  <c r="D9" i="9"/>
  <c r="D4" i="9"/>
  <c r="E4" i="9"/>
  <c r="E12" i="9"/>
  <c r="D8" i="9"/>
  <c r="J10" i="37" a="1"/>
  <c r="J10" i="37" s="1"/>
  <c r="D10" i="9"/>
  <c r="J10" i="9" s="1" a="1"/>
  <c r="J10" i="9" s="1"/>
  <c r="AY7" i="9" s="1"/>
  <c r="J10" i="36" a="1"/>
  <c r="J10" i="36" s="1"/>
  <c r="E3" i="9"/>
  <c r="D20" i="9"/>
  <c r="AK9" i="36" a="1"/>
  <c r="AK9" i="36" s="1"/>
  <c r="AJ9" i="36" a="1"/>
  <c r="AJ9" i="36" s="1"/>
  <c r="E13" i="9"/>
  <c r="J13" i="9" s="1" a="1"/>
  <c r="J13" i="9" s="1"/>
  <c r="AY13" i="9" s="1"/>
  <c r="D18" i="9"/>
  <c r="D19" i="9"/>
  <c r="J19" i="9" s="1" a="1"/>
  <c r="J19" i="9" s="1"/>
  <c r="AY20" i="9" s="1"/>
  <c r="J19" i="35" a="1"/>
  <c r="J19" i="35" s="1"/>
  <c r="AJ9" i="35" a="1"/>
  <c r="AJ9" i="35" s="1"/>
  <c r="AG11" i="9"/>
  <c r="E20" i="9"/>
  <c r="AG23" i="9"/>
  <c r="D11" i="9"/>
  <c r="J11" i="9" s="1" a="1"/>
  <c r="J11" i="9" s="1"/>
  <c r="AY12" i="9" s="1"/>
  <c r="E8" i="9"/>
  <c r="AJ4" i="9" a="1"/>
  <c r="AJ4" i="9" s="1"/>
  <c r="BB23" i="9" s="1"/>
  <c r="AK4" i="9" a="1"/>
  <c r="AK4" i="9" s="1"/>
  <c r="BC23" i="9" s="1"/>
  <c r="AG16" i="9"/>
  <c r="D15" i="9"/>
  <c r="J15" i="9" s="1" a="1"/>
  <c r="J15" i="9" s="1"/>
  <c r="AY18" i="9" s="1"/>
  <c r="AK4" i="36" a="1"/>
  <c r="AK4" i="36" s="1"/>
  <c r="AJ4" i="36" a="1"/>
  <c r="AJ4" i="36" s="1"/>
  <c r="D14" i="9"/>
  <c r="AG8" i="9"/>
  <c r="E11" i="9"/>
  <c r="E18" i="9"/>
  <c r="E14" i="9"/>
  <c r="J14" i="9" s="1" a="1"/>
  <c r="J14" i="9" s="1"/>
  <c r="AY11" i="9" s="1"/>
  <c r="D3" i="9"/>
  <c r="D12" i="9"/>
  <c r="AK7" i="35" a="1"/>
  <c r="AK7" i="35" s="1"/>
  <c r="AJ7" i="35" a="1"/>
  <c r="AJ7" i="35" s="1"/>
  <c r="E9" i="9"/>
  <c r="AK7" i="37" a="1"/>
  <c r="AK7" i="37" s="1"/>
  <c r="AJ7" i="37" a="1"/>
  <c r="AJ7" i="37" s="1"/>
  <c r="Q48" i="11"/>
  <c r="E6" i="9"/>
  <c r="J6" i="9" s="1" a="1"/>
  <c r="J6" i="9" s="1"/>
  <c r="AY3" i="9" s="1"/>
  <c r="J6" i="36" a="1"/>
  <c r="J6" i="36" s="1"/>
  <c r="E17" i="9"/>
  <c r="J5" i="36" a="1"/>
  <c r="J5" i="36" s="1"/>
  <c r="D5" i="9"/>
  <c r="J5" i="9" s="1" a="1"/>
  <c r="J5" i="9" s="1"/>
  <c r="AY15" i="9" s="1"/>
  <c r="J5" i="37" a="1"/>
  <c r="J5" i="37" s="1"/>
  <c r="J20" i="9" a="1"/>
  <c r="J20" i="9" s="1"/>
  <c r="AY19" i="9" s="1"/>
  <c r="AK7" i="36" a="1"/>
  <c r="AK7" i="36" s="1"/>
  <c r="AJ7" i="36" a="1"/>
  <c r="AJ7" i="36" s="1"/>
  <c r="Q20" i="11"/>
  <c r="D17" i="9"/>
  <c r="D16" i="9"/>
  <c r="J16" i="9" s="1" a="1"/>
  <c r="J16" i="9" s="1"/>
  <c r="AY14" i="9" s="1"/>
  <c r="J12" i="35" a="1"/>
  <c r="J12" i="35" s="1"/>
  <c r="AJ18" i="9" a="1"/>
  <c r="AJ18" i="9" s="1"/>
  <c r="BB18" i="9" s="1"/>
  <c r="AK18" i="9" a="1"/>
  <c r="AK18" i="9" s="1"/>
  <c r="BC18" i="9" s="1"/>
  <c r="Q40" i="14"/>
  <c r="Q28" i="14"/>
  <c r="Q15" i="14"/>
  <c r="Q38" i="14"/>
  <c r="AJ21" i="9" a="1"/>
  <c r="AJ21" i="9" s="1"/>
  <c r="BB14" i="9" s="1"/>
  <c r="AK21" i="9" a="1"/>
  <c r="AK21" i="9" s="1"/>
  <c r="BC14" i="9" s="1"/>
  <c r="Q14" i="14"/>
  <c r="AK17" i="9" a="1"/>
  <c r="AK17" i="9" s="1"/>
  <c r="BC20" i="9" s="1"/>
  <c r="AJ17" i="9" a="1"/>
  <c r="AJ17" i="9" s="1"/>
  <c r="Q36" i="14"/>
  <c r="Q12" i="14"/>
  <c r="Q44" i="14"/>
  <c r="Q35" i="14"/>
  <c r="Q21" i="14"/>
  <c r="Q23" i="14"/>
  <c r="Q11" i="14"/>
  <c r="AH23" i="9" s="1"/>
  <c r="Q33" i="14"/>
  <c r="Q31" i="14"/>
  <c r="Q9" i="14"/>
  <c r="AH12" i="9" s="1"/>
  <c r="Q6" i="14"/>
  <c r="AH9" i="9" s="1"/>
  <c r="Q30" i="14"/>
  <c r="Q7" i="14"/>
  <c r="AH11" i="9" s="1"/>
  <c r="Q34" i="14"/>
  <c r="Q20" i="14"/>
  <c r="AH14" i="9" s="1"/>
  <c r="Q22" i="14"/>
  <c r="Q10" i="14"/>
  <c r="AH3" i="9" s="1"/>
  <c r="Q32" i="14"/>
  <c r="Q13" i="14"/>
  <c r="AH7" i="9" s="1"/>
  <c r="Q4" i="14"/>
  <c r="Q4" i="11"/>
  <c r="Q39" i="11"/>
  <c r="Q44" i="11"/>
  <c r="Q51" i="11"/>
  <c r="Q43" i="11"/>
  <c r="Q49" i="11"/>
  <c r="Q7" i="11"/>
  <c r="Q57" i="11"/>
  <c r="Q58" i="11"/>
  <c r="Q21" i="11"/>
  <c r="Q36" i="11"/>
  <c r="Q33" i="11"/>
  <c r="Q22" i="11"/>
  <c r="Q52" i="11"/>
  <c r="Q25" i="11"/>
  <c r="Q18" i="11"/>
  <c r="Q10" i="11"/>
  <c r="Q34" i="11"/>
  <c r="Q35" i="11"/>
  <c r="Q37" i="11"/>
  <c r="Q23" i="11"/>
  <c r="Q50" i="11"/>
  <c r="Q42" i="11"/>
  <c r="AM5" i="11"/>
  <c r="AM6" i="11"/>
  <c r="AM3" i="11"/>
  <c r="AM4" i="11"/>
  <c r="AK4" i="37" l="1" a="1"/>
  <c r="AK4" i="37" s="1"/>
  <c r="AK15" i="37" a="1"/>
  <c r="AK15" i="37" s="1"/>
  <c r="AZ10" i="37"/>
  <c r="AZ5" i="37"/>
  <c r="AZ11" i="37"/>
  <c r="AZ4" i="37"/>
  <c r="AZ6" i="37"/>
  <c r="AZ13" i="37"/>
  <c r="AZ12" i="37"/>
  <c r="BA7" i="37"/>
  <c r="BA10" i="37"/>
  <c r="BA5" i="37"/>
  <c r="BA12" i="37"/>
  <c r="BA11" i="37"/>
  <c r="BA15" i="37"/>
  <c r="AT4" i="36" a="1"/>
  <c r="AT4" i="36" s="1"/>
  <c r="BE13" i="36" s="1"/>
  <c r="AZ15" i="36"/>
  <c r="BA4" i="36"/>
  <c r="BA8" i="36"/>
  <c r="BA5" i="36"/>
  <c r="BA3" i="36"/>
  <c r="BA6" i="36"/>
  <c r="AC14" i="38" a="1"/>
  <c r="AC14" i="38" s="1"/>
  <c r="AT11" i="38" s="1"/>
  <c r="AD14" i="38" a="1"/>
  <c r="AD14" i="38" s="1"/>
  <c r="AU11" i="38" s="1"/>
  <c r="AD20" i="38" a="1"/>
  <c r="AD20" i="38" s="1"/>
  <c r="AU8" i="38" s="1"/>
  <c r="AC20" i="38" a="1"/>
  <c r="AC20" i="38" s="1"/>
  <c r="AT8" i="38" s="1"/>
  <c r="AC11" i="38" a="1"/>
  <c r="AC11" i="38" s="1"/>
  <c r="AT14" i="38" s="1"/>
  <c r="AD11" i="38" a="1"/>
  <c r="AD11" i="38" s="1"/>
  <c r="AU14" i="38" s="1"/>
  <c r="AK6" i="9" a="1"/>
  <c r="AK6" i="9" s="1"/>
  <c r="BC15" i="9" s="1"/>
  <c r="AJ6" i="9" a="1"/>
  <c r="AJ6" i="9" s="1"/>
  <c r="BB15" i="9" s="1"/>
  <c r="AD9" i="38" a="1"/>
  <c r="AD9" i="38" s="1"/>
  <c r="AU6" i="38" s="1"/>
  <c r="AC9" i="38" a="1"/>
  <c r="AC9" i="38" s="1"/>
  <c r="AT6" i="38" s="1"/>
  <c r="AD19" i="38" a="1"/>
  <c r="AD19" i="38" s="1"/>
  <c r="AU4" i="38" s="1"/>
  <c r="AC19" i="38" a="1"/>
  <c r="AC19" i="38" s="1"/>
  <c r="AT4" i="38" s="1"/>
  <c r="AJ8" i="9" a="1"/>
  <c r="AJ8" i="9" s="1"/>
  <c r="BB3" i="9" s="1"/>
  <c r="AD17" i="38" a="1"/>
  <c r="AD17" i="38" s="1"/>
  <c r="AU3" i="38" s="1"/>
  <c r="AC17" i="38" a="1"/>
  <c r="AC17" i="38" s="1"/>
  <c r="AT3" i="38" s="1"/>
  <c r="AC3" i="38" a="1"/>
  <c r="AC3" i="38" s="1"/>
  <c r="AT9" i="38" s="1"/>
  <c r="AD3" i="38" a="1"/>
  <c r="AD3" i="38" s="1"/>
  <c r="AU9" i="38" s="1"/>
  <c r="AD6" i="38" a="1"/>
  <c r="AD6" i="38" s="1"/>
  <c r="AU15" i="38" s="1"/>
  <c r="AC6" i="38" a="1"/>
  <c r="AC6" i="38" s="1"/>
  <c r="AT15" i="38" s="1"/>
  <c r="AC7" i="38" a="1"/>
  <c r="AC7" i="38" s="1"/>
  <c r="AT7" i="38" s="1"/>
  <c r="AD7" i="38" a="1"/>
  <c r="AD7" i="38" s="1"/>
  <c r="AU7" i="38" s="1"/>
  <c r="AC4" i="38" a="1"/>
  <c r="AC4" i="38" s="1"/>
  <c r="AT13" i="38" s="1"/>
  <c r="AD4" i="38" a="1"/>
  <c r="AD4" i="38" s="1"/>
  <c r="AU13" i="38" s="1"/>
  <c r="AC8" i="38" a="1"/>
  <c r="AC8" i="38" s="1"/>
  <c r="AT10" i="38" s="1"/>
  <c r="AD8" i="38" a="1"/>
  <c r="AD8" i="38" s="1"/>
  <c r="AU10" i="38" s="1"/>
  <c r="AT7" i="41" a="1"/>
  <c r="AT7" i="41" s="1"/>
  <c r="BE7" i="41" s="1"/>
  <c r="AS7" i="41" a="1"/>
  <c r="AS7" i="41" s="1"/>
  <c r="BD7" i="41" s="1"/>
  <c r="BF7" i="41"/>
  <c r="AT8" i="36" a="1"/>
  <c r="AT8" i="36" s="1"/>
  <c r="BE6" i="36" s="1"/>
  <c r="AS8" i="36" a="1"/>
  <c r="AS8" i="36" s="1"/>
  <c r="BD6" i="36" s="1"/>
  <c r="AS4" i="36" a="1"/>
  <c r="AS4" i="36" s="1"/>
  <c r="BD13" i="36" s="1"/>
  <c r="AT9" i="36" a="1"/>
  <c r="AT9" i="36" s="1"/>
  <c r="AS5" i="40" a="1"/>
  <c r="AS5" i="40" s="1"/>
  <c r="BD9" i="40" s="1"/>
  <c r="BF9" i="40" s="1"/>
  <c r="AT5" i="40" a="1"/>
  <c r="AT5" i="40" s="1"/>
  <c r="BE9" i="40" s="1"/>
  <c r="AT9" i="35" a="1"/>
  <c r="AT9" i="35" s="1"/>
  <c r="BE10" i="35" s="1"/>
  <c r="AS9" i="35" a="1"/>
  <c r="AS9" i="35" s="1"/>
  <c r="BD10" i="35" s="1"/>
  <c r="AS8" i="39"/>
  <c r="AS11" i="39"/>
  <c r="AV4" i="39"/>
  <c r="AS9" i="39"/>
  <c r="AS7" i="39"/>
  <c r="AS15" i="39"/>
  <c r="AS10" i="39"/>
  <c r="AS5" i="39"/>
  <c r="AS19" i="35" a="1"/>
  <c r="AS19" i="35" s="1"/>
  <c r="BD12" i="35" s="1"/>
  <c r="AT19" i="35" a="1"/>
  <c r="AT19" i="35" s="1"/>
  <c r="BE12" i="35" s="1"/>
  <c r="AS16" i="39"/>
  <c r="AS3" i="39"/>
  <c r="AS18" i="9" a="1"/>
  <c r="AS18" i="9" s="1"/>
  <c r="BD18" i="9" s="1"/>
  <c r="AT18" i="9" a="1"/>
  <c r="AT18" i="9" s="1"/>
  <c r="BE18" i="9" s="1"/>
  <c r="AM3" i="38" a="1"/>
  <c r="AM3" i="38" s="1"/>
  <c r="AW9" i="38" s="1"/>
  <c r="AL3" i="38" a="1"/>
  <c r="AL3" i="38" s="1"/>
  <c r="AV9" i="38" s="1"/>
  <c r="AL14" i="38" a="1"/>
  <c r="AL14" i="38" s="1"/>
  <c r="AV11" i="38" s="1"/>
  <c r="AM14" i="38" a="1"/>
  <c r="AM14" i="38" s="1"/>
  <c r="AW11" i="38" s="1"/>
  <c r="AM18" i="38" a="1"/>
  <c r="AM18" i="38" s="1"/>
  <c r="AW20" i="38" s="1"/>
  <c r="AL18" i="38" a="1"/>
  <c r="AL18" i="38" s="1"/>
  <c r="AL6" i="38" a="1"/>
  <c r="AL6" i="38" s="1"/>
  <c r="AV15" i="38" s="1"/>
  <c r="AM6" i="38" a="1"/>
  <c r="AM6" i="38" s="1"/>
  <c r="AW15" i="38" s="1"/>
  <c r="AM8" i="38" a="1"/>
  <c r="AM8" i="38" s="1"/>
  <c r="AW10" i="38" s="1"/>
  <c r="AL8" i="38" a="1"/>
  <c r="AL8" i="38" s="1"/>
  <c r="AV10" i="38" s="1"/>
  <c r="AM11" i="38" a="1"/>
  <c r="AM11" i="38" s="1"/>
  <c r="AW14" i="38" s="1"/>
  <c r="AS16" i="9" a="1"/>
  <c r="AS16" i="9" s="1"/>
  <c r="BD9" i="9" s="1"/>
  <c r="AS20" i="9" a="1"/>
  <c r="AS20" i="9" s="1"/>
  <c r="BD19" i="9" s="1"/>
  <c r="AT20" i="9" a="1"/>
  <c r="AT20" i="9" s="1"/>
  <c r="BE19" i="9" s="1"/>
  <c r="AK18" i="35" a="1"/>
  <c r="AK18" i="35" s="1"/>
  <c r="BC18" i="35" s="1"/>
  <c r="BF18" i="35" s="1"/>
  <c r="AC19" i="39" a="1"/>
  <c r="AC19" i="39" s="1"/>
  <c r="AT11" i="39" s="1"/>
  <c r="AD19" i="39" a="1"/>
  <c r="AD19" i="39" s="1"/>
  <c r="AU11" i="39" s="1"/>
  <c r="AT16" i="39"/>
  <c r="AT3" i="39"/>
  <c r="AU7" i="39"/>
  <c r="AC9" i="39" a="1"/>
  <c r="AC9" i="39" s="1"/>
  <c r="AT9" i="39" s="1"/>
  <c r="AD9" i="39" a="1"/>
  <c r="AD9" i="39" s="1"/>
  <c r="AU9" i="39" s="1"/>
  <c r="AC17" i="39" a="1"/>
  <c r="AC17" i="39" s="1"/>
  <c r="AT12" i="39" s="1"/>
  <c r="AD17" i="39" a="1"/>
  <c r="AD17" i="39" s="1"/>
  <c r="AU12" i="39" s="1"/>
  <c r="AC7" i="39" a="1"/>
  <c r="AC7" i="39" s="1"/>
  <c r="AT6" i="39" s="1"/>
  <c r="AD7" i="39" a="1"/>
  <c r="AD7" i="39" s="1"/>
  <c r="AU6" i="39" s="1"/>
  <c r="AC6" i="39" a="1"/>
  <c r="AC6" i="39" s="1"/>
  <c r="AT13" i="39" s="1"/>
  <c r="AD6" i="39" a="1"/>
  <c r="AD6" i="39" s="1"/>
  <c r="AU13" i="39" s="1"/>
  <c r="AC18" i="39" a="1"/>
  <c r="AC18" i="39" s="1"/>
  <c r="AT8" i="39" s="1"/>
  <c r="AD18" i="39" a="1"/>
  <c r="AD18" i="39" s="1"/>
  <c r="AU8" i="39" s="1"/>
  <c r="AC5" i="39" a="1"/>
  <c r="AC5" i="39" s="1"/>
  <c r="AT4" i="39" s="1"/>
  <c r="AD5" i="39" a="1"/>
  <c r="AD5" i="39" s="1"/>
  <c r="AC4" i="39" a="1"/>
  <c r="AC4" i="39" s="1"/>
  <c r="AT5" i="39" s="1"/>
  <c r="AD4" i="39" a="1"/>
  <c r="AD4" i="39" s="1"/>
  <c r="AK6" i="41" a="1"/>
  <c r="AK6" i="41" s="1"/>
  <c r="BC5" i="41" s="1"/>
  <c r="AJ6" i="41" a="1"/>
  <c r="AJ6" i="41" s="1"/>
  <c r="BB5" i="41" s="1"/>
  <c r="AJ6" i="37" a="1"/>
  <c r="AJ6" i="37" s="1"/>
  <c r="AK6" i="37" a="1"/>
  <c r="AK6" i="37" s="1"/>
  <c r="AK9" i="37" a="1"/>
  <c r="AK9" i="37" s="1"/>
  <c r="AK3" i="41" a="1"/>
  <c r="AK3" i="41" s="1"/>
  <c r="BC6" i="41" s="1"/>
  <c r="AJ3" i="41" a="1"/>
  <c r="AJ3" i="41" s="1"/>
  <c r="BB6" i="41" s="1"/>
  <c r="AS19" i="39"/>
  <c r="AS6" i="39"/>
  <c r="AS18" i="39"/>
  <c r="AL17" i="39" a="1"/>
  <c r="AL17" i="39" s="1"/>
  <c r="AM17" i="39" a="1"/>
  <c r="AM17" i="39" s="1"/>
  <c r="AS7" i="9" a="1"/>
  <c r="AS7" i="9" s="1"/>
  <c r="BD13" i="9" s="1"/>
  <c r="AT7" i="9" a="1"/>
  <c r="AT7" i="9" s="1"/>
  <c r="BE13" i="9" s="1"/>
  <c r="AT17" i="9" a="1"/>
  <c r="AT17" i="9" s="1"/>
  <c r="BE20" i="9" s="1"/>
  <c r="AS17" i="9" a="1"/>
  <c r="AS17" i="9" s="1"/>
  <c r="BD20" i="9" s="1"/>
  <c r="AL10" i="38" a="1"/>
  <c r="AL10" i="38" s="1"/>
  <c r="AV5" i="38" s="1"/>
  <c r="AM10" i="38" a="1"/>
  <c r="AM10" i="38" s="1"/>
  <c r="AW5" i="38" s="1"/>
  <c r="AS8" i="40" a="1"/>
  <c r="AS8" i="40" s="1"/>
  <c r="BD5" i="40" s="1"/>
  <c r="AT8" i="40" a="1"/>
  <c r="AT8" i="40" s="1"/>
  <c r="BE5" i="40" s="1"/>
  <c r="AL18" i="39" a="1"/>
  <c r="AL18" i="39" s="1"/>
  <c r="AM18" i="39" a="1"/>
  <c r="AM18" i="39" s="1"/>
  <c r="AW17" i="39" s="1"/>
  <c r="AL6" i="39" a="1"/>
  <c r="AL6" i="39" s="1"/>
  <c r="AV19" i="39" s="1"/>
  <c r="AM6" i="39" a="1"/>
  <c r="AM6" i="39" s="1"/>
  <c r="AL5" i="39" a="1"/>
  <c r="AL5" i="39" s="1"/>
  <c r="AV5" i="39" s="1"/>
  <c r="AM5" i="39" a="1"/>
  <c r="AM5" i="39" s="1"/>
  <c r="AW4" i="39" s="1"/>
  <c r="AT4" i="35" a="1"/>
  <c r="AT4" i="35" s="1"/>
  <c r="BE4" i="35" s="1"/>
  <c r="AS4" i="35" a="1"/>
  <c r="AS4" i="35" s="1"/>
  <c r="BD4" i="35" s="1"/>
  <c r="AS10" i="35" a="1"/>
  <c r="AS10" i="35" s="1"/>
  <c r="BD9" i="35" s="1"/>
  <c r="AT10" i="35" a="1"/>
  <c r="AT10" i="35" s="1"/>
  <c r="BE9" i="35" s="1"/>
  <c r="AM19" i="39" a="1"/>
  <c r="AM19" i="39" s="1"/>
  <c r="AW11" i="39" s="1"/>
  <c r="AL19" i="39" a="1"/>
  <c r="AL19" i="39" s="1"/>
  <c r="AV11" i="39" s="1"/>
  <c r="AS16" i="35" a="1"/>
  <c r="AS16" i="35" s="1"/>
  <c r="BD13" i="35" s="1"/>
  <c r="AT16" i="35" a="1"/>
  <c r="AT16" i="35" s="1"/>
  <c r="BE13" i="35" s="1"/>
  <c r="AL21" i="39" a="1"/>
  <c r="AL21" i="39" s="1"/>
  <c r="AM21" i="39" a="1"/>
  <c r="AM21" i="39" s="1"/>
  <c r="AW16" i="39" s="1"/>
  <c r="AL9" i="39" a="1"/>
  <c r="AL9" i="39" s="1"/>
  <c r="AM9" i="39" a="1"/>
  <c r="AM9" i="39" s="1"/>
  <c r="AM20" i="39" a="1"/>
  <c r="AM20" i="39" s="1"/>
  <c r="AW7" i="39" s="1"/>
  <c r="AL20" i="39" a="1"/>
  <c r="AL20" i="39" s="1"/>
  <c r="AV7" i="39" s="1"/>
  <c r="AT6" i="35" a="1"/>
  <c r="AT6" i="35" s="1"/>
  <c r="BE8" i="35" s="1"/>
  <c r="AS6" i="35" a="1"/>
  <c r="AS6" i="35" s="1"/>
  <c r="BD8" i="35" s="1"/>
  <c r="AM22" i="39" a="1"/>
  <c r="AM22" i="39" s="1"/>
  <c r="AW15" i="39" s="1"/>
  <c r="AL22" i="39" a="1"/>
  <c r="AL22" i="39" s="1"/>
  <c r="AV15" i="39" s="1"/>
  <c r="AT12" i="35" a="1"/>
  <c r="AT12" i="35" s="1"/>
  <c r="BE3" i="35" s="1"/>
  <c r="AS12" i="35" a="1"/>
  <c r="AS12" i="35" s="1"/>
  <c r="BD3" i="35" s="1"/>
  <c r="AT14" i="35" a="1"/>
  <c r="AT14" i="35" s="1"/>
  <c r="BE7" i="35" s="1"/>
  <c r="AS14" i="35" a="1"/>
  <c r="AS14" i="35" s="1"/>
  <c r="BD7" i="35" s="1"/>
  <c r="AT18" i="35" a="1"/>
  <c r="AT18" i="35" s="1"/>
  <c r="BE5" i="35" s="1"/>
  <c r="AS18" i="35" a="1"/>
  <c r="AS18" i="35" s="1"/>
  <c r="BD5" i="35" s="1"/>
  <c r="AS8" i="35" a="1"/>
  <c r="AS8" i="35" s="1"/>
  <c r="BD6" i="35" s="1"/>
  <c r="AT8" i="35" a="1"/>
  <c r="AT8" i="35" s="1"/>
  <c r="BE6" i="35" s="1"/>
  <c r="AL7" i="39" a="1"/>
  <c r="AL7" i="39" s="1"/>
  <c r="AM7" i="39" a="1"/>
  <c r="AM7" i="39" s="1"/>
  <c r="AL17" i="38" a="1"/>
  <c r="AL17" i="38" s="1"/>
  <c r="AV3" i="38" s="1"/>
  <c r="AM17" i="38" a="1"/>
  <c r="AM17" i="38" s="1"/>
  <c r="AW3" i="38" s="1"/>
  <c r="AM19" i="38" a="1"/>
  <c r="AM19" i="38" s="1"/>
  <c r="AW4" i="38" s="1"/>
  <c r="AL19" i="38" a="1"/>
  <c r="AL19" i="38" s="1"/>
  <c r="AT23" i="9" a="1"/>
  <c r="AT23" i="9" s="1"/>
  <c r="BE12" i="9" s="1"/>
  <c r="AS23" i="9" a="1"/>
  <c r="AS23" i="9" s="1"/>
  <c r="BD12" i="9" s="1"/>
  <c r="AS22" i="9" a="1"/>
  <c r="AS22" i="9" s="1"/>
  <c r="BD8" i="9" s="1"/>
  <c r="AT22" i="9" a="1"/>
  <c r="AT22" i="9" s="1"/>
  <c r="BE8" i="9" s="1"/>
  <c r="AS6" i="9" a="1"/>
  <c r="AS6" i="9" s="1"/>
  <c r="BD15" i="9" s="1"/>
  <c r="AT6" i="9" a="1"/>
  <c r="AT6" i="9" s="1"/>
  <c r="BE15" i="9" s="1"/>
  <c r="AT19" i="9" a="1"/>
  <c r="AT19" i="9" s="1"/>
  <c r="BE17" i="9" s="1"/>
  <c r="AS19" i="9" a="1"/>
  <c r="AS19" i="9" s="1"/>
  <c r="BD17" i="9" s="1"/>
  <c r="AS3" i="9" a="1"/>
  <c r="AS3" i="9" s="1"/>
  <c r="BD4" i="9" s="1"/>
  <c r="AT3" i="9" a="1"/>
  <c r="AT3" i="9" s="1"/>
  <c r="BE4" i="9" s="1"/>
  <c r="AT9" i="9" a="1"/>
  <c r="AT9" i="9" s="1"/>
  <c r="BE6" i="9" s="1"/>
  <c r="AS9" i="9" a="1"/>
  <c r="AS9" i="9" s="1"/>
  <c r="BD6" i="9" s="1"/>
  <c r="AL20" i="38" a="1"/>
  <c r="AL20" i="38" s="1"/>
  <c r="AM20" i="38" a="1"/>
  <c r="AM20" i="38" s="1"/>
  <c r="AW8" i="38" s="1"/>
  <c r="AT10" i="9" a="1"/>
  <c r="AT10" i="9" s="1"/>
  <c r="BE16" i="9" s="1"/>
  <c r="AS10" i="9" a="1"/>
  <c r="AS10" i="9" s="1"/>
  <c r="BD16" i="9" s="1"/>
  <c r="AS8" i="9" a="1"/>
  <c r="AS8" i="9" s="1"/>
  <c r="BD3" i="9" s="1"/>
  <c r="AT8" i="9" a="1"/>
  <c r="AT8" i="9" s="1"/>
  <c r="BE3" i="9" s="1"/>
  <c r="AM9" i="38" a="1"/>
  <c r="AM9" i="38" s="1"/>
  <c r="AW6" i="38" s="1"/>
  <c r="AL9" i="38" a="1"/>
  <c r="AL9" i="38" s="1"/>
  <c r="AV6" i="38" s="1"/>
  <c r="AS21" i="9" a="1"/>
  <c r="AS21" i="9" s="1"/>
  <c r="BD14" i="9" s="1"/>
  <c r="AT21" i="9" a="1"/>
  <c r="AT21" i="9" s="1"/>
  <c r="BE14" i="9" s="1"/>
  <c r="AS12" i="9" a="1"/>
  <c r="AS12" i="9" s="1"/>
  <c r="BD10" i="9" s="1"/>
  <c r="AT12" i="9" a="1"/>
  <c r="AT12" i="9" s="1"/>
  <c r="BE10" i="9" s="1"/>
  <c r="AL7" i="38" a="1"/>
  <c r="AL7" i="38" s="1"/>
  <c r="AV7" i="38" s="1"/>
  <c r="AM7" i="38" a="1"/>
  <c r="AM7" i="38" s="1"/>
  <c r="AW7" i="38" s="1"/>
  <c r="AS14" i="9" a="1"/>
  <c r="AS14" i="9" s="1"/>
  <c r="BD11" i="9" s="1"/>
  <c r="AT14" i="9" a="1"/>
  <c r="AT14" i="9" s="1"/>
  <c r="BE11" i="9" s="1"/>
  <c r="AT11" i="9" a="1"/>
  <c r="AT11" i="9" s="1"/>
  <c r="BE7" i="9" s="1"/>
  <c r="AS11" i="9" a="1"/>
  <c r="AS11" i="9" s="1"/>
  <c r="BD7" i="9" s="1"/>
  <c r="AS5" i="9" a="1"/>
  <c r="AS5" i="9" s="1"/>
  <c r="BD5" i="9" s="1"/>
  <c r="AT5" i="9" a="1"/>
  <c r="AT5" i="9" s="1"/>
  <c r="BE5" i="9" s="1"/>
  <c r="AT15" i="37" a="1"/>
  <c r="AT15" i="37" s="1"/>
  <c r="BE6" i="37" s="1"/>
  <c r="AS15" i="37" a="1"/>
  <c r="AS15" i="37" s="1"/>
  <c r="AT8" i="41" a="1"/>
  <c r="AT8" i="41" s="1"/>
  <c r="BE4" i="41" s="1"/>
  <c r="AS8" i="41" a="1"/>
  <c r="AS8" i="41" s="1"/>
  <c r="BD4" i="41" s="1"/>
  <c r="BF4" i="41" s="1"/>
  <c r="AT13" i="37" a="1"/>
  <c r="AT13" i="37" s="1"/>
  <c r="AS13" i="37" a="1"/>
  <c r="AS13" i="37" s="1"/>
  <c r="AS11" i="37" a="1"/>
  <c r="AS11" i="37" s="1"/>
  <c r="BD8" i="37" s="1"/>
  <c r="AT11" i="37" a="1"/>
  <c r="AT11" i="37" s="1"/>
  <c r="BE8" i="37" s="1"/>
  <c r="AS4" i="37" a="1"/>
  <c r="AS4" i="37" s="1"/>
  <c r="AT4" i="37" a="1"/>
  <c r="AT4" i="37" s="1"/>
  <c r="AT8" i="37" a="1"/>
  <c r="AT8" i="37" s="1"/>
  <c r="BE12" i="37" s="1"/>
  <c r="AS8" i="37" a="1"/>
  <c r="AS8" i="37" s="1"/>
  <c r="BD12" i="37" s="1"/>
  <c r="AT6" i="37" a="1"/>
  <c r="AT6" i="37" s="1"/>
  <c r="BE4" i="37" s="1"/>
  <c r="AS6" i="37" a="1"/>
  <c r="AS6" i="37" s="1"/>
  <c r="AT9" i="37" a="1"/>
  <c r="AT9" i="37" s="1"/>
  <c r="AS9" i="37" a="1"/>
  <c r="AS9" i="37" s="1"/>
  <c r="BD9" i="37" s="1"/>
  <c r="AT12" i="37" a="1"/>
  <c r="AT12" i="37" s="1"/>
  <c r="BE11" i="37" s="1"/>
  <c r="AS12" i="37" a="1"/>
  <c r="AS12" i="37" s="1"/>
  <c r="BD11" i="37" s="1"/>
  <c r="AS10" i="37" a="1"/>
  <c r="AS10" i="37" s="1"/>
  <c r="BD13" i="37" s="1"/>
  <c r="AT10" i="37" a="1"/>
  <c r="AT10" i="37" s="1"/>
  <c r="BE13" i="37" s="1"/>
  <c r="AT7" i="37" a="1"/>
  <c r="AT7" i="37" s="1"/>
  <c r="AS7" i="37" a="1"/>
  <c r="AS7" i="37" s="1"/>
  <c r="AS6" i="41" a="1"/>
  <c r="AS6" i="41" s="1"/>
  <c r="BD5" i="41" s="1"/>
  <c r="AT6" i="41" a="1"/>
  <c r="AT6" i="41" s="1"/>
  <c r="BE5" i="41" s="1"/>
  <c r="AS14" i="37" a="1"/>
  <c r="AS14" i="37" s="1"/>
  <c r="BD15" i="37" s="1"/>
  <c r="AT14" i="37" a="1"/>
  <c r="AT14" i="37" s="1"/>
  <c r="AT3" i="41" a="1"/>
  <c r="AT3" i="41" s="1"/>
  <c r="BE6" i="41" s="1"/>
  <c r="AS3" i="41" a="1"/>
  <c r="AS3" i="41" s="1"/>
  <c r="BD6" i="41" s="1"/>
  <c r="BF6" i="41" s="1"/>
  <c r="AT5" i="41" a="1"/>
  <c r="AT5" i="41" s="1"/>
  <c r="BE3" i="41" s="1"/>
  <c r="AS5" i="41" a="1"/>
  <c r="AS5" i="41" s="1"/>
  <c r="BD3" i="41" s="1"/>
  <c r="AS3" i="37" a="1"/>
  <c r="AS3" i="37" s="1"/>
  <c r="BD16" i="37" s="1"/>
  <c r="AT3" i="37" a="1"/>
  <c r="AT3" i="37" s="1"/>
  <c r="BE16" i="37" s="1"/>
  <c r="AT5" i="36" a="1"/>
  <c r="AT5" i="36" s="1"/>
  <c r="BE3" i="36" s="1"/>
  <c r="AS5" i="36" a="1"/>
  <c r="AS5" i="36" s="1"/>
  <c r="BD3" i="36" s="1"/>
  <c r="AS6" i="36" a="1"/>
  <c r="AS6" i="36" s="1"/>
  <c r="BD15" i="36" s="1"/>
  <c r="AT6" i="36" a="1"/>
  <c r="AT6" i="36" s="1"/>
  <c r="BE11" i="36" s="1"/>
  <c r="AT12" i="36" a="1"/>
  <c r="AT12" i="36" s="1"/>
  <c r="BE8" i="36" s="1"/>
  <c r="AS12" i="36" a="1"/>
  <c r="AS12" i="36" s="1"/>
  <c r="AS6" i="40" a="1"/>
  <c r="AS6" i="40" s="1"/>
  <c r="BD3" i="40" s="1"/>
  <c r="AT6" i="40" a="1"/>
  <c r="AT6" i="40" s="1"/>
  <c r="BE3" i="40" s="1"/>
  <c r="AS11" i="40" a="1"/>
  <c r="AS11" i="40" s="1"/>
  <c r="BD4" i="40" s="1"/>
  <c r="AT11" i="40" a="1"/>
  <c r="AT11" i="40" s="1"/>
  <c r="AS7" i="36" a="1"/>
  <c r="AS7" i="36" s="1"/>
  <c r="AT7" i="36" a="1"/>
  <c r="AT7" i="36" s="1"/>
  <c r="AS11" i="36" a="1"/>
  <c r="AS11" i="36" s="1"/>
  <c r="BD14" i="36" s="1"/>
  <c r="AT11" i="36" a="1"/>
  <c r="AT11" i="36" s="1"/>
  <c r="J13" i="37" a="1"/>
  <c r="J13" i="37" s="1"/>
  <c r="AY10" i="37" s="1"/>
  <c r="J6" i="37" a="1"/>
  <c r="J6" i="37" s="1"/>
  <c r="AK13" i="37" a="1"/>
  <c r="AK13" i="37" s="1"/>
  <c r="BC10" i="37" s="1"/>
  <c r="J15" i="37" a="1"/>
  <c r="J15" i="37" s="1"/>
  <c r="J7" i="37" a="1"/>
  <c r="J7" i="37" s="1"/>
  <c r="AY14" i="37" s="1"/>
  <c r="BC14" i="37"/>
  <c r="AY3" i="36"/>
  <c r="BB4" i="36"/>
  <c r="BC4" i="36"/>
  <c r="J12" i="36" a="1"/>
  <c r="J12" i="36" s="1"/>
  <c r="BB16" i="35"/>
  <c r="BC16" i="35"/>
  <c r="BC5" i="35"/>
  <c r="BB21" i="35"/>
  <c r="BC21" i="35"/>
  <c r="AY17" i="35"/>
  <c r="AY3" i="35"/>
  <c r="BB5" i="35"/>
  <c r="BF23" i="9"/>
  <c r="J4" i="9" a="1"/>
  <c r="J4" i="9" s="1"/>
  <c r="AY4" i="9" s="1"/>
  <c r="J12" i="9" a="1"/>
  <c r="J12" i="9" s="1"/>
  <c r="AY8" i="9" s="1"/>
  <c r="J8" i="9" a="1"/>
  <c r="J8" i="9" s="1"/>
  <c r="AY10" i="9" s="1"/>
  <c r="AK8" i="9" a="1"/>
  <c r="AK8" i="9" s="1"/>
  <c r="BC3" i="9" s="1"/>
  <c r="J12" i="37" a="1"/>
  <c r="J12" i="37" s="1"/>
  <c r="J3" i="9" a="1"/>
  <c r="J3" i="9" s="1"/>
  <c r="AY5" i="9" s="1"/>
  <c r="J3" i="37" a="1"/>
  <c r="J3" i="37" s="1"/>
  <c r="AY16" i="37" s="1"/>
  <c r="J9" i="36" a="1"/>
  <c r="J9" i="36" s="1"/>
  <c r="AY15" i="36" s="1"/>
  <c r="J3" i="36" a="1"/>
  <c r="J3" i="36" s="1"/>
  <c r="AY5" i="36" s="1"/>
  <c r="BB20" i="9"/>
  <c r="AG20" i="9"/>
  <c r="J8" i="36" a="1"/>
  <c r="J8" i="36" s="1"/>
  <c r="J4" i="36" a="1"/>
  <c r="J4" i="36" s="1"/>
  <c r="AG19" i="9"/>
  <c r="J4" i="37" a="1"/>
  <c r="J4" i="37" s="1"/>
  <c r="AY7" i="37" s="1"/>
  <c r="AG12" i="9"/>
  <c r="AJ12" i="9" s="1" a="1"/>
  <c r="AJ12" i="9" s="1"/>
  <c r="BB10" i="9" s="1"/>
  <c r="J20" i="35" a="1"/>
  <c r="J20" i="35" s="1"/>
  <c r="J9" i="37" a="1"/>
  <c r="J9" i="37" s="1"/>
  <c r="AY9" i="37" s="1"/>
  <c r="J17" i="9" a="1"/>
  <c r="J17" i="9" s="1"/>
  <c r="AY17" i="9" s="1"/>
  <c r="AJ16" i="9" a="1"/>
  <c r="AJ16" i="9" s="1"/>
  <c r="BB9" i="9" s="1"/>
  <c r="AK16" i="9" a="1"/>
  <c r="AK16" i="9" s="1"/>
  <c r="BC9" i="9" s="1"/>
  <c r="J18" i="9" a="1"/>
  <c r="J18" i="9" s="1"/>
  <c r="AY16" i="9" s="1"/>
  <c r="J9" i="9" a="1"/>
  <c r="J9" i="9" s="1"/>
  <c r="AY9" i="9" s="1"/>
  <c r="AK3" i="35" a="1"/>
  <c r="AK3" i="35" s="1"/>
  <c r="BC4" i="35" s="1"/>
  <c r="AJ3" i="35" a="1"/>
  <c r="AJ3" i="35" s="1"/>
  <c r="BB4" i="35" s="1"/>
  <c r="AG22" i="9"/>
  <c r="AG5" i="9"/>
  <c r="AK8" i="37" a="1"/>
  <c r="AK8" i="37" s="1"/>
  <c r="AJ8" i="37" a="1"/>
  <c r="AJ8" i="37" s="1"/>
  <c r="J8" i="37" a="1"/>
  <c r="J8" i="37" s="1"/>
  <c r="AY4" i="37" s="1"/>
  <c r="AK8" i="36" a="1"/>
  <c r="AK8" i="36" s="1"/>
  <c r="AJ8" i="36" a="1"/>
  <c r="AJ8" i="36" s="1"/>
  <c r="AK8" i="35" a="1"/>
  <c r="AK8" i="35" s="1"/>
  <c r="AJ8" i="35" a="1"/>
  <c r="AJ8" i="35" s="1"/>
  <c r="AK16" i="35" a="1"/>
  <c r="AK16" i="35" s="1"/>
  <c r="BC10" i="35" s="1"/>
  <c r="AJ16" i="35" a="1"/>
  <c r="AJ16" i="35" s="1"/>
  <c r="BB10" i="35" s="1"/>
  <c r="AK11" i="37" a="1"/>
  <c r="AK11" i="37" s="1"/>
  <c r="AJ11" i="37" a="1"/>
  <c r="AJ11" i="37" s="1"/>
  <c r="AK3" i="37" a="1"/>
  <c r="AK3" i="37" s="1"/>
  <c r="AJ3" i="37" a="1"/>
  <c r="AJ3" i="37" s="1"/>
  <c r="BB14" i="37" s="1"/>
  <c r="J14" i="37" a="1"/>
  <c r="J14" i="37" s="1"/>
  <c r="BC15" i="36"/>
  <c r="BB15" i="36"/>
  <c r="AK11" i="35" a="1"/>
  <c r="AK11" i="35" s="1"/>
  <c r="AJ11" i="35" a="1"/>
  <c r="AJ11" i="35" s="1"/>
  <c r="AG10" i="9"/>
  <c r="J18" i="35" a="1"/>
  <c r="J18" i="35" s="1"/>
  <c r="AY20" i="35" s="1"/>
  <c r="J11" i="37" a="1"/>
  <c r="J11" i="37" s="1"/>
  <c r="AY13" i="37" s="1"/>
  <c r="AK11" i="36" a="1"/>
  <c r="AK11" i="36" s="1"/>
  <c r="AJ11" i="36" a="1"/>
  <c r="AJ11" i="36" s="1"/>
  <c r="AJ3" i="36" a="1"/>
  <c r="AJ3" i="36" s="1"/>
  <c r="BB13" i="36" s="1"/>
  <c r="AK3" i="36" a="1"/>
  <c r="AK3" i="36" s="1"/>
  <c r="BC13" i="36" s="1"/>
  <c r="AG14" i="9"/>
  <c r="AK14" i="9" s="1" a="1"/>
  <c r="AK14" i="9" s="1"/>
  <c r="BC11" i="9" s="1"/>
  <c r="J11" i="36" a="1"/>
  <c r="J11" i="36" s="1"/>
  <c r="AY7" i="36" s="1"/>
  <c r="AK7" i="9" a="1"/>
  <c r="AK7" i="9" s="1"/>
  <c r="BC13" i="9" s="1"/>
  <c r="AJ7" i="9" a="1"/>
  <c r="AJ7" i="9" s="1"/>
  <c r="BB13" i="9" s="1"/>
  <c r="AK3" i="9" a="1"/>
  <c r="AK3" i="9" s="1"/>
  <c r="BC4" i="9" s="1"/>
  <c r="AJ3" i="9" a="1"/>
  <c r="AJ3" i="9" s="1"/>
  <c r="AK11" i="9" a="1"/>
  <c r="AK11" i="9" s="1"/>
  <c r="BC7" i="9" s="1"/>
  <c r="AJ11" i="9" a="1"/>
  <c r="AJ11" i="9" s="1"/>
  <c r="AJ23" i="9" a="1"/>
  <c r="AJ23" i="9" s="1"/>
  <c r="BB12" i="9" s="1"/>
  <c r="AK23" i="9" a="1"/>
  <c r="AK23" i="9" s="1"/>
  <c r="BC12" i="9" s="1"/>
  <c r="AK9" i="9" a="1"/>
  <c r="AK9" i="9" s="1"/>
  <c r="BC6" i="9" s="1"/>
  <c r="AJ9" i="9" a="1"/>
  <c r="AJ9" i="9" s="1"/>
  <c r="BB6" i="9" s="1"/>
  <c r="BF18" i="9"/>
  <c r="BE15" i="37" l="1"/>
  <c r="BD4" i="37"/>
  <c r="BD6" i="37"/>
  <c r="BE10" i="37"/>
  <c r="BE5" i="37"/>
  <c r="BD14" i="37"/>
  <c r="BE7" i="37"/>
  <c r="BD10" i="37"/>
  <c r="BD5" i="37"/>
  <c r="BD7" i="37"/>
  <c r="AY5" i="37"/>
  <c r="BE4" i="36"/>
  <c r="BE5" i="36"/>
  <c r="BD4" i="36"/>
  <c r="BD5" i="36"/>
  <c r="BE15" i="36"/>
  <c r="BF15" i="36" s="1"/>
  <c r="BE14" i="36"/>
  <c r="BE7" i="36"/>
  <c r="BD7" i="36"/>
  <c r="AY13" i="36"/>
  <c r="AY11" i="36"/>
  <c r="AY4" i="36"/>
  <c r="BF4" i="36" s="1"/>
  <c r="BF15" i="9"/>
  <c r="AX9" i="38"/>
  <c r="AX10" i="38"/>
  <c r="AX13" i="38"/>
  <c r="AX14" i="38"/>
  <c r="AV16" i="39"/>
  <c r="AV3" i="39"/>
  <c r="AV14" i="39"/>
  <c r="AV12" i="39"/>
  <c r="AX12" i="39" s="1"/>
  <c r="AW14" i="39"/>
  <c r="AW12" i="39"/>
  <c r="AX7" i="39"/>
  <c r="AX15" i="38"/>
  <c r="AX11" i="38"/>
  <c r="BB6" i="35"/>
  <c r="BF6" i="35" s="1"/>
  <c r="AU19" i="39"/>
  <c r="AU5" i="39"/>
  <c r="AU3" i="39"/>
  <c r="AU4" i="39"/>
  <c r="AX4" i="39" s="1"/>
  <c r="BC6" i="35"/>
  <c r="AX11" i="39"/>
  <c r="AX15" i="39"/>
  <c r="BF20" i="9"/>
  <c r="AX14" i="39"/>
  <c r="BF14" i="9"/>
  <c r="AX3" i="38"/>
  <c r="AX5" i="38"/>
  <c r="BF5" i="40"/>
  <c r="AW8" i="39"/>
  <c r="AW18" i="39"/>
  <c r="AW3" i="39"/>
  <c r="AW5" i="39"/>
  <c r="AW10" i="39"/>
  <c r="AW13" i="39"/>
  <c r="AV10" i="39"/>
  <c r="AV13" i="39"/>
  <c r="AV9" i="39"/>
  <c r="AV6" i="39"/>
  <c r="AW21" i="39"/>
  <c r="AX21" i="39" s="1"/>
  <c r="AW19" i="39"/>
  <c r="AX19" i="39" s="1"/>
  <c r="AX16" i="39"/>
  <c r="AW9" i="39"/>
  <c r="AW6" i="39"/>
  <c r="AV22" i="39"/>
  <c r="AX22" i="39" s="1"/>
  <c r="AV17" i="39"/>
  <c r="AX17" i="39" s="1"/>
  <c r="AV8" i="39"/>
  <c r="AV18" i="39"/>
  <c r="AV20" i="38"/>
  <c r="AX20" i="38" s="1"/>
  <c r="AV8" i="38"/>
  <c r="AX8" i="38" s="1"/>
  <c r="AV12" i="38"/>
  <c r="AX12" i="38" s="1"/>
  <c r="AV4" i="38"/>
  <c r="AX4" i="38" s="1"/>
  <c r="AX7" i="38"/>
  <c r="BF3" i="9"/>
  <c r="AX6" i="38"/>
  <c r="BF3" i="41"/>
  <c r="BE14" i="37"/>
  <c r="BF14" i="37" s="1"/>
  <c r="BE9" i="37"/>
  <c r="BF5" i="41"/>
  <c r="BE10" i="40"/>
  <c r="BF10" i="40" s="1"/>
  <c r="BE4" i="40"/>
  <c r="BF4" i="40" s="1"/>
  <c r="BF3" i="40"/>
  <c r="BD11" i="36"/>
  <c r="BD8" i="36"/>
  <c r="AY6" i="37"/>
  <c r="BC12" i="37"/>
  <c r="AY15" i="37"/>
  <c r="AY8" i="37"/>
  <c r="AY11" i="37"/>
  <c r="AY12" i="37"/>
  <c r="BB12" i="37"/>
  <c r="AY14" i="36"/>
  <c r="AY8" i="36"/>
  <c r="AY6" i="36"/>
  <c r="BF16" i="35"/>
  <c r="AY5" i="35"/>
  <c r="BF5" i="35" s="1"/>
  <c r="BF21" i="35"/>
  <c r="AY12" i="35"/>
  <c r="AY11" i="35"/>
  <c r="BF10" i="35"/>
  <c r="BF4" i="35"/>
  <c r="AK12" i="9" a="1"/>
  <c r="AK12" i="9" s="1"/>
  <c r="BC10" i="9" s="1"/>
  <c r="BF10" i="9" s="1"/>
  <c r="BB7" i="9"/>
  <c r="BF7" i="9" s="1"/>
  <c r="AJ5" i="35" a="1"/>
  <c r="AJ5" i="35" s="1"/>
  <c r="BB14" i="35" s="1"/>
  <c r="AK5" i="35" a="1"/>
  <c r="AK5" i="35" s="1"/>
  <c r="BC14" i="35" s="1"/>
  <c r="BB4" i="9"/>
  <c r="BF4" i="9" s="1"/>
  <c r="AJ10" i="35" a="1"/>
  <c r="AJ10" i="35" s="1"/>
  <c r="AK10" i="35" a="1"/>
  <c r="AK10" i="35" s="1"/>
  <c r="AJ19" i="35" a="1"/>
  <c r="AJ19" i="35" s="1"/>
  <c r="BB13" i="35" s="1"/>
  <c r="AK19" i="35" a="1"/>
  <c r="AK19" i="35" s="1"/>
  <c r="BC13" i="35" s="1"/>
  <c r="BC17" i="35"/>
  <c r="BB17" i="35"/>
  <c r="BF17" i="35" s="1"/>
  <c r="BF13" i="36"/>
  <c r="AJ22" i="9" a="1"/>
  <c r="AJ22" i="9" s="1"/>
  <c r="BB8" i="9" s="1"/>
  <c r="AK22" i="9" a="1"/>
  <c r="AK22" i="9" s="1"/>
  <c r="BC8" i="9" s="1"/>
  <c r="AJ14" i="9" a="1"/>
  <c r="AJ14" i="9" s="1"/>
  <c r="BB11" i="9" s="1"/>
  <c r="BF11" i="9" s="1"/>
  <c r="AK5" i="36" a="1"/>
  <c r="AK5" i="36" s="1"/>
  <c r="BC5" i="36" s="1"/>
  <c r="AJ5" i="36" a="1"/>
  <c r="AJ5" i="36" s="1"/>
  <c r="BB5" i="36" s="1"/>
  <c r="AJ12" i="35" a="1"/>
  <c r="AJ12" i="35" s="1"/>
  <c r="AK12" i="35" a="1"/>
  <c r="AK12" i="35" s="1"/>
  <c r="AJ14" i="35" a="1"/>
  <c r="AJ14" i="35" s="1"/>
  <c r="AK14" i="35" a="1"/>
  <c r="AK14" i="35" s="1"/>
  <c r="BF9" i="9"/>
  <c r="AK10" i="37" a="1"/>
  <c r="AK10" i="37" s="1"/>
  <c r="BC13" i="37" s="1"/>
  <c r="AJ10" i="37" a="1"/>
  <c r="AJ10" i="37" s="1"/>
  <c r="BB13" i="37" s="1"/>
  <c r="AJ20" i="9" a="1"/>
  <c r="AJ20" i="9" s="1"/>
  <c r="BB19" i="9" s="1"/>
  <c r="AK20" i="9" a="1"/>
  <c r="AK20" i="9" s="1"/>
  <c r="BC19" i="9" s="1"/>
  <c r="AK14" i="37" a="1"/>
  <c r="AK14" i="37" s="1"/>
  <c r="AJ14" i="37" a="1"/>
  <c r="AJ14" i="37" s="1"/>
  <c r="AK10" i="36" a="1"/>
  <c r="AK10" i="36" s="1"/>
  <c r="AJ10" i="36" a="1"/>
  <c r="AJ10" i="36" s="1"/>
  <c r="AJ10" i="9" a="1"/>
  <c r="AJ10" i="9" s="1"/>
  <c r="AK10" i="9" a="1"/>
  <c r="AK10" i="9" s="1"/>
  <c r="BC16" i="9" s="1"/>
  <c r="BC8" i="37"/>
  <c r="BB8" i="37"/>
  <c r="AK19" i="9" a="1"/>
  <c r="AK19" i="9" s="1"/>
  <c r="BC17" i="9" s="1"/>
  <c r="AJ19" i="9" a="1"/>
  <c r="AJ19" i="9" s="1"/>
  <c r="BB17" i="9" s="1"/>
  <c r="BF17" i="9" s="1"/>
  <c r="AJ12" i="37" a="1"/>
  <c r="AJ12" i="37" s="1"/>
  <c r="AK12" i="37" a="1"/>
  <c r="AK12" i="37" s="1"/>
  <c r="AJ5" i="9" a="1"/>
  <c r="AJ5" i="9" s="1"/>
  <c r="BB5" i="9" s="1"/>
  <c r="AK5" i="9" a="1"/>
  <c r="AK5" i="9" s="1"/>
  <c r="BC5" i="9" s="1"/>
  <c r="AJ12" i="36" a="1"/>
  <c r="AJ12" i="36" s="1"/>
  <c r="BB14" i="36" s="1"/>
  <c r="AK12" i="36" a="1"/>
  <c r="AK12" i="36" s="1"/>
  <c r="BC14" i="36" s="1"/>
  <c r="AJ5" i="37" a="1"/>
  <c r="AJ5" i="37" s="1"/>
  <c r="AK5" i="37" a="1"/>
  <c r="AK5" i="37" s="1"/>
  <c r="BC16" i="37" s="1"/>
  <c r="AK20" i="35" a="1"/>
  <c r="AK20" i="35" s="1"/>
  <c r="AJ20" i="35" a="1"/>
  <c r="AJ20" i="35" s="1"/>
  <c r="BF13" i="9"/>
  <c r="BF6" i="9"/>
  <c r="BF12" i="9"/>
  <c r="BF10" i="37" l="1"/>
  <c r="BC7" i="37"/>
  <c r="BC9" i="37"/>
  <c r="BB16" i="37"/>
  <c r="BF16" i="37" s="1"/>
  <c r="BB9" i="37"/>
  <c r="BF9" i="37" s="1"/>
  <c r="BB7" i="37"/>
  <c r="BF7" i="37" s="1"/>
  <c r="BB6" i="36"/>
  <c r="BF6" i="36" s="1"/>
  <c r="BC6" i="36"/>
  <c r="BF13" i="35"/>
  <c r="AX5" i="39"/>
  <c r="AX3" i="39"/>
  <c r="AX13" i="39"/>
  <c r="AX8" i="39"/>
  <c r="AX10" i="39"/>
  <c r="BG5" i="41"/>
  <c r="BG4" i="40"/>
  <c r="AX6" i="39"/>
  <c r="AX9" i="39"/>
  <c r="AY4" i="38"/>
  <c r="AX18" i="39"/>
  <c r="AY6" i="38"/>
  <c r="AY9" i="38"/>
  <c r="AY3" i="38"/>
  <c r="AY7" i="38"/>
  <c r="AY16" i="38"/>
  <c r="AY18" i="38"/>
  <c r="AY15" i="38"/>
  <c r="AY13" i="38"/>
  <c r="AY14" i="38"/>
  <c r="AY11" i="38"/>
  <c r="AY17" i="38"/>
  <c r="AY10" i="38"/>
  <c r="AY19" i="38"/>
  <c r="AY5" i="38"/>
  <c r="AY12" i="38"/>
  <c r="AY8" i="38"/>
  <c r="AY20" i="38"/>
  <c r="BG4" i="41"/>
  <c r="BG6" i="41"/>
  <c r="BG7" i="41"/>
  <c r="BG8" i="41"/>
  <c r="BG3" i="41"/>
  <c r="BG9" i="40"/>
  <c r="BG7" i="40"/>
  <c r="BG3" i="40"/>
  <c r="BG11" i="40"/>
  <c r="BG8" i="40"/>
  <c r="BG5" i="40"/>
  <c r="BG6" i="40"/>
  <c r="BG10" i="40"/>
  <c r="BF14" i="36"/>
  <c r="BF13" i="37"/>
  <c r="BC5" i="37"/>
  <c r="BF12" i="37"/>
  <c r="BB6" i="37"/>
  <c r="BB15" i="37"/>
  <c r="BC4" i="37"/>
  <c r="BC11" i="37"/>
  <c r="BC6" i="37"/>
  <c r="BC15" i="37"/>
  <c r="BB4" i="37"/>
  <c r="BB11" i="37"/>
  <c r="BB5" i="37"/>
  <c r="BC11" i="36"/>
  <c r="BC8" i="36"/>
  <c r="BB11" i="36"/>
  <c r="BB8" i="36"/>
  <c r="BC7" i="36"/>
  <c r="BF5" i="36"/>
  <c r="BB7" i="36"/>
  <c r="BC3" i="36"/>
  <c r="BB3" i="36"/>
  <c r="BC15" i="35"/>
  <c r="BC19" i="35"/>
  <c r="BC7" i="35"/>
  <c r="BB15" i="35"/>
  <c r="BB12" i="35"/>
  <c r="BB11" i="35"/>
  <c r="BC8" i="35"/>
  <c r="BC3" i="35"/>
  <c r="BC12" i="35"/>
  <c r="BC11" i="35"/>
  <c r="BB8" i="35"/>
  <c r="BB3" i="35"/>
  <c r="BC20" i="35"/>
  <c r="BC9" i="35"/>
  <c r="BB19" i="35"/>
  <c r="BB7" i="35"/>
  <c r="BF7" i="35" s="1"/>
  <c r="BB20" i="35"/>
  <c r="BB9" i="35"/>
  <c r="BF14" i="35"/>
  <c r="BF8" i="37"/>
  <c r="BF5" i="9"/>
  <c r="BF19" i="9"/>
  <c r="BB16" i="9"/>
  <c r="BF16" i="9" s="1"/>
  <c r="BF8" i="9"/>
  <c r="BF8" i="36" l="1"/>
  <c r="BF3" i="35"/>
  <c r="BF7" i="36"/>
  <c r="BF8" i="35"/>
  <c r="BF11" i="35"/>
  <c r="BF4" i="37"/>
  <c r="BF11" i="37"/>
  <c r="BF12" i="35"/>
  <c r="AY11" i="39"/>
  <c r="AY18" i="39"/>
  <c r="AY14" i="39"/>
  <c r="AY7" i="39"/>
  <c r="AY22" i="39"/>
  <c r="AY17" i="39"/>
  <c r="AY10" i="39"/>
  <c r="AY6" i="39"/>
  <c r="AY19" i="39"/>
  <c r="AY21" i="39"/>
  <c r="AY12" i="39"/>
  <c r="AY16" i="39"/>
  <c r="AY13" i="39"/>
  <c r="AY3" i="39"/>
  <c r="AY15" i="39"/>
  <c r="AY4" i="39"/>
  <c r="AY8" i="39"/>
  <c r="AY5" i="39"/>
  <c r="AY20" i="39"/>
  <c r="AY9" i="39"/>
  <c r="BF5" i="37"/>
  <c r="BF3" i="36"/>
  <c r="BF15" i="37"/>
  <c r="BF6" i="37"/>
  <c r="BG3" i="37" s="1"/>
  <c r="BF11" i="36"/>
  <c r="BG10" i="36" s="1"/>
  <c r="BF15" i="35"/>
  <c r="BF19" i="35"/>
  <c r="BF9" i="35"/>
  <c r="BF20" i="35"/>
  <c r="BG18" i="9"/>
  <c r="BG17" i="9"/>
  <c r="BG5" i="9"/>
  <c r="BG10" i="9"/>
  <c r="BG3" i="9"/>
  <c r="BG8" i="9"/>
  <c r="BG20" i="9"/>
  <c r="BG14" i="9"/>
  <c r="BG23" i="9"/>
  <c r="BG7" i="9"/>
  <c r="BG16" i="9"/>
  <c r="BG15" i="9"/>
  <c r="BG21" i="9"/>
  <c r="BG13" i="9"/>
  <c r="BG11" i="9"/>
  <c r="BG4" i="9"/>
  <c r="BG19" i="9"/>
  <c r="BG12" i="9"/>
  <c r="BG22" i="9"/>
  <c r="BG6" i="9"/>
  <c r="BG9" i="9"/>
  <c r="BG12" i="36" l="1"/>
  <c r="BG9" i="36"/>
  <c r="BG7" i="36"/>
  <c r="BG4" i="35"/>
  <c r="BG3" i="36"/>
  <c r="BG15" i="36"/>
  <c r="BG11" i="36"/>
  <c r="BG14" i="36"/>
  <c r="BG4" i="36"/>
  <c r="BG14" i="35"/>
  <c r="BG8" i="35"/>
  <c r="BG17" i="35"/>
  <c r="BG12" i="35"/>
  <c r="BG5" i="35"/>
  <c r="BG16" i="35"/>
  <c r="BG21" i="35"/>
  <c r="BG11" i="35"/>
  <c r="BG6" i="36"/>
  <c r="BG5" i="36"/>
  <c r="BG8" i="37"/>
  <c r="BG14" i="37"/>
  <c r="BG11" i="37"/>
  <c r="BG15" i="37"/>
  <c r="BG16" i="37"/>
  <c r="BG7" i="37"/>
  <c r="BG12" i="37"/>
  <c r="BG6" i="37"/>
  <c r="BG4" i="37"/>
  <c r="BG13" i="37"/>
  <c r="BG9" i="37"/>
  <c r="BG10" i="37"/>
  <c r="BG5" i="37"/>
  <c r="BG8" i="36"/>
  <c r="BG13" i="36"/>
  <c r="BG13" i="35"/>
  <c r="BG10" i="35"/>
  <c r="BG18" i="35"/>
  <c r="BG9" i="35"/>
  <c r="BG6" i="35"/>
  <c r="BG19" i="35"/>
  <c r="BG15" i="35"/>
  <c r="BG3" i="35"/>
  <c r="BG20" i="35"/>
  <c r="BG7" i="3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<sst xmlns="http://schemas.openxmlformats.org/spreadsheetml/2006/main" count="9657" uniqueCount="932">
  <si>
    <t>Card</t>
  </si>
  <si>
    <t>Fname</t>
  </si>
  <si>
    <t>Lname</t>
  </si>
  <si>
    <t>YOB</t>
  </si>
  <si>
    <t>Sex</t>
  </si>
  <si>
    <t>clubName</t>
  </si>
  <si>
    <t>clubAbr</t>
  </si>
  <si>
    <t>PTSOAbr</t>
  </si>
  <si>
    <t>PTSOName</t>
  </si>
  <si>
    <t>PTSONameFull</t>
  </si>
  <si>
    <t>prov</t>
  </si>
  <si>
    <t>categoryName</t>
  </si>
  <si>
    <t>categoryShortName</t>
  </si>
  <si>
    <t>compCard</t>
  </si>
  <si>
    <t>currentList</t>
  </si>
  <si>
    <t>SL</t>
  </si>
  <si>
    <t>GS</t>
  </si>
  <si>
    <t>SG</t>
  </si>
  <si>
    <t>DH</t>
  </si>
  <si>
    <t>AC</t>
  </si>
  <si>
    <t>Grant</t>
  </si>
  <si>
    <t>Acker</t>
  </si>
  <si>
    <t>M</t>
  </si>
  <si>
    <t>Poley Mountain Race Club</t>
  </si>
  <si>
    <t>PMRC</t>
  </si>
  <si>
    <t>NB</t>
  </si>
  <si>
    <t>Alpine NB</t>
  </si>
  <si>
    <t>Ski New Brunswick</t>
  </si>
  <si>
    <t>Entry Level</t>
  </si>
  <si>
    <t>EL</t>
  </si>
  <si>
    <t>N/A</t>
  </si>
  <si>
    <t>Will</t>
  </si>
  <si>
    <t>Recreational</t>
  </si>
  <si>
    <t>REC</t>
  </si>
  <si>
    <t>Siena</t>
  </si>
  <si>
    <t>Arsenault</t>
  </si>
  <si>
    <t>F</t>
  </si>
  <si>
    <t>National Card</t>
  </si>
  <si>
    <t>NC</t>
  </si>
  <si>
    <t>Simon</t>
  </si>
  <si>
    <t>Clara</t>
  </si>
  <si>
    <t>Banks</t>
  </si>
  <si>
    <t>Christian</t>
  </si>
  <si>
    <t>Basha</t>
  </si>
  <si>
    <t>Greyer</t>
  </si>
  <si>
    <t>Charlotte</t>
  </si>
  <si>
    <t>Bazin</t>
  </si>
  <si>
    <t>Garrett</t>
  </si>
  <si>
    <t>Beaton</t>
  </si>
  <si>
    <t>Esau</t>
  </si>
  <si>
    <t>Bennett</t>
  </si>
  <si>
    <t>Gordon</t>
  </si>
  <si>
    <t>Isabel</t>
  </si>
  <si>
    <t>Betts</t>
  </si>
  <si>
    <t>Johnnie</t>
  </si>
  <si>
    <t>Mercer</t>
  </si>
  <si>
    <t>Macpherson</t>
  </si>
  <si>
    <t>Boyne</t>
  </si>
  <si>
    <t>Miti</t>
  </si>
  <si>
    <t>Budd</t>
  </si>
  <si>
    <t>Sadie</t>
  </si>
  <si>
    <t>Maya</t>
  </si>
  <si>
    <t>Carson</t>
  </si>
  <si>
    <t>Keaton</t>
  </si>
  <si>
    <t>Chandler</t>
  </si>
  <si>
    <t>Leo</t>
  </si>
  <si>
    <t>Aubree</t>
  </si>
  <si>
    <t>Cote</t>
  </si>
  <si>
    <t>Kohen</t>
  </si>
  <si>
    <t>Angus</t>
  </si>
  <si>
    <t>Cunningham</t>
  </si>
  <si>
    <t>Jasper</t>
  </si>
  <si>
    <t>Daley</t>
  </si>
  <si>
    <t>Kingsley</t>
  </si>
  <si>
    <t>Devine</t>
  </si>
  <si>
    <t>Holden</t>
  </si>
  <si>
    <t>Doherty</t>
  </si>
  <si>
    <t>Larkin</t>
  </si>
  <si>
    <t>Ellis</t>
  </si>
  <si>
    <t>Robin</t>
  </si>
  <si>
    <t>Cameron</t>
  </si>
  <si>
    <t>Faulkner</t>
  </si>
  <si>
    <t>Ethan</t>
  </si>
  <si>
    <t>Brynn</t>
  </si>
  <si>
    <t>Fitzpatrick</t>
  </si>
  <si>
    <t>Lydia</t>
  </si>
  <si>
    <t>Foster</t>
  </si>
  <si>
    <t>Elliette</t>
  </si>
  <si>
    <t>Freeman</t>
  </si>
  <si>
    <t>Indie</t>
  </si>
  <si>
    <t>Chase</t>
  </si>
  <si>
    <t>Gallant</t>
  </si>
  <si>
    <t>Annie</t>
  </si>
  <si>
    <t>Gamble</t>
  </si>
  <si>
    <t>Niaya</t>
  </si>
  <si>
    <t>Gaudet</t>
  </si>
  <si>
    <t>Dominic</t>
  </si>
  <si>
    <t>Goguen</t>
  </si>
  <si>
    <t>Bella</t>
  </si>
  <si>
    <t>Goss</t>
  </si>
  <si>
    <t>Lilah</t>
  </si>
  <si>
    <t>Gabriel</t>
  </si>
  <si>
    <t>Hare</t>
  </si>
  <si>
    <t>Theodore</t>
  </si>
  <si>
    <t>Hennessy</t>
  </si>
  <si>
    <t>Ava</t>
  </si>
  <si>
    <t>Hunter</t>
  </si>
  <si>
    <t>Elle</t>
  </si>
  <si>
    <t>Janicki</t>
  </si>
  <si>
    <t>Eadlyn</t>
  </si>
  <si>
    <t>Jenkins</t>
  </si>
  <si>
    <t>Liam</t>
  </si>
  <si>
    <t>Ella</t>
  </si>
  <si>
    <t>Laird</t>
  </si>
  <si>
    <t>Jade</t>
  </si>
  <si>
    <t>George</t>
  </si>
  <si>
    <t>Langille</t>
  </si>
  <si>
    <t>Stella</t>
  </si>
  <si>
    <t>Ruth</t>
  </si>
  <si>
    <t>Lea</t>
  </si>
  <si>
    <t>Chloe</t>
  </si>
  <si>
    <t>Leblanc</t>
  </si>
  <si>
    <t>Zack</t>
  </si>
  <si>
    <t>Carrie</t>
  </si>
  <si>
    <t>Lee</t>
  </si>
  <si>
    <t>Nathan</t>
  </si>
  <si>
    <t>Katherine</t>
  </si>
  <si>
    <t>Macartney</t>
  </si>
  <si>
    <t>Julia</t>
  </si>
  <si>
    <t>MacDonald</t>
  </si>
  <si>
    <t>Baxter</t>
  </si>
  <si>
    <t>MacDow</t>
  </si>
  <si>
    <t>Jude</t>
  </si>
  <si>
    <t>Layla</t>
  </si>
  <si>
    <t>Mahoney</t>
  </si>
  <si>
    <t>Jaxon</t>
  </si>
  <si>
    <t>Maillet</t>
  </si>
  <si>
    <t>Margot</t>
  </si>
  <si>
    <t>Malenfant</t>
  </si>
  <si>
    <t>Manning</t>
  </si>
  <si>
    <t>Camden</t>
  </si>
  <si>
    <t>Matheson</t>
  </si>
  <si>
    <t>Ira</t>
  </si>
  <si>
    <t>Matz</t>
  </si>
  <si>
    <t>Levi</t>
  </si>
  <si>
    <t>Maxwell</t>
  </si>
  <si>
    <t>Isla</t>
  </si>
  <si>
    <t>Thomas</t>
  </si>
  <si>
    <t>Mayer</t>
  </si>
  <si>
    <t>Ruddiger</t>
  </si>
  <si>
    <t>Miller-Hayes</t>
  </si>
  <si>
    <t>Morin</t>
  </si>
  <si>
    <t>Kinsley</t>
  </si>
  <si>
    <t>Muise</t>
  </si>
  <si>
    <t>Sofia</t>
  </si>
  <si>
    <t>Murray</t>
  </si>
  <si>
    <t>Quinn</t>
  </si>
  <si>
    <t>O'Hara</t>
  </si>
  <si>
    <t>Alistair</t>
  </si>
  <si>
    <t>Ouellette</t>
  </si>
  <si>
    <t>Bridget</t>
  </si>
  <si>
    <t>Casey</t>
  </si>
  <si>
    <t>Pearson</t>
  </si>
  <si>
    <t>Christopher</t>
  </si>
  <si>
    <t>Felix</t>
  </si>
  <si>
    <t>Pozeg</t>
  </si>
  <si>
    <t>Meredith</t>
  </si>
  <si>
    <t>Oliver</t>
  </si>
  <si>
    <t>Rackley</t>
  </si>
  <si>
    <t>Andrew</t>
  </si>
  <si>
    <t>Reid</t>
  </si>
  <si>
    <t>Grace</t>
  </si>
  <si>
    <t>Adelyn</t>
  </si>
  <si>
    <t>Richardson</t>
  </si>
  <si>
    <t>Hugh</t>
  </si>
  <si>
    <t>Naomi</t>
  </si>
  <si>
    <t>Rideout</t>
  </si>
  <si>
    <t>Claire</t>
  </si>
  <si>
    <t>Riley</t>
  </si>
  <si>
    <t>Elliot</t>
  </si>
  <si>
    <t>Abigail</t>
  </si>
  <si>
    <t>Roy</t>
  </si>
  <si>
    <t>Madelyn</t>
  </si>
  <si>
    <t>Olivia</t>
  </si>
  <si>
    <t>Anita</t>
  </si>
  <si>
    <t>Ryan</t>
  </si>
  <si>
    <t>Carmen</t>
  </si>
  <si>
    <t>Sandness</t>
  </si>
  <si>
    <t>Maurizio (Mo)</t>
  </si>
  <si>
    <t>Santori</t>
  </si>
  <si>
    <t>Declan</t>
  </si>
  <si>
    <t>Sheehan</t>
  </si>
  <si>
    <t>Xander</t>
  </si>
  <si>
    <t>Alayna</t>
  </si>
  <si>
    <t>Slattery</t>
  </si>
  <si>
    <t>Ivy</t>
  </si>
  <si>
    <t>Smith</t>
  </si>
  <si>
    <t>Malcolm</t>
  </si>
  <si>
    <t>Eloise</t>
  </si>
  <si>
    <t>Steeves</t>
  </si>
  <si>
    <t>Robbie</t>
  </si>
  <si>
    <t>Stevenson</t>
  </si>
  <si>
    <t>Frantisek</t>
  </si>
  <si>
    <t>Telgarsky</t>
  </si>
  <si>
    <t>Krystof</t>
  </si>
  <si>
    <t>Anna</t>
  </si>
  <si>
    <t>Thibodeau</t>
  </si>
  <si>
    <t>James</t>
  </si>
  <si>
    <t>Vincent</t>
  </si>
  <si>
    <t>Viens</t>
  </si>
  <si>
    <t>Mira</t>
  </si>
  <si>
    <t>Wadhwani</t>
  </si>
  <si>
    <t>Luca</t>
  </si>
  <si>
    <t>Weaver Crawford</t>
  </si>
  <si>
    <t>White</t>
  </si>
  <si>
    <t>Montgomery</t>
  </si>
  <si>
    <t>Chelsey</t>
  </si>
  <si>
    <t>Williams</t>
  </si>
  <si>
    <t>Yeats</t>
  </si>
  <si>
    <t>Wilson</t>
  </si>
  <si>
    <t>Emma</t>
  </si>
  <si>
    <t>Berube</t>
  </si>
  <si>
    <t>Mont Farlagne Race Team</t>
  </si>
  <si>
    <t>MFRT</t>
  </si>
  <si>
    <t>Mahéva</t>
  </si>
  <si>
    <t>Bois</t>
  </si>
  <si>
    <t>Maxim</t>
  </si>
  <si>
    <t>Victor</t>
  </si>
  <si>
    <t>Corkum</t>
  </si>
  <si>
    <t>Alexa</t>
  </si>
  <si>
    <t>Daigle</t>
  </si>
  <si>
    <t>Alice</t>
  </si>
  <si>
    <t>Chloé</t>
  </si>
  <si>
    <t>Maxime</t>
  </si>
  <si>
    <t>Liam Andersen</t>
  </si>
  <si>
    <t>Duguay</t>
  </si>
  <si>
    <t>Liko Andersen</t>
  </si>
  <si>
    <t>Arthur</t>
  </si>
  <si>
    <t>Henckaerts</t>
  </si>
  <si>
    <t>Malik</t>
  </si>
  <si>
    <t>Laplante</t>
  </si>
  <si>
    <t>LeBlanc</t>
  </si>
  <si>
    <t>Elyse</t>
  </si>
  <si>
    <t>Michaud</t>
  </si>
  <si>
    <t>Isak</t>
  </si>
  <si>
    <t>Picard</t>
  </si>
  <si>
    <t>Zoé</t>
  </si>
  <si>
    <t>Alexandre</t>
  </si>
  <si>
    <t>Olivier</t>
  </si>
  <si>
    <t>Xavier</t>
  </si>
  <si>
    <t>Jake</t>
  </si>
  <si>
    <t>Theriault</t>
  </si>
  <si>
    <t>Jacob</t>
  </si>
  <si>
    <t>Therrien</t>
  </si>
  <si>
    <t>Eleeza</t>
  </si>
  <si>
    <t>Bacon</t>
  </si>
  <si>
    <t>Crabbe Mountain Race Club</t>
  </si>
  <si>
    <t>CMRC</t>
  </si>
  <si>
    <t>Eliot</t>
  </si>
  <si>
    <t>Bardsley</t>
  </si>
  <si>
    <t>Evelyn</t>
  </si>
  <si>
    <t>Beairsto</t>
  </si>
  <si>
    <t>Pearl</t>
  </si>
  <si>
    <t>Benjamin</t>
  </si>
  <si>
    <t>Belanger</t>
  </si>
  <si>
    <t>Samuel</t>
  </si>
  <si>
    <t>Lucy</t>
  </si>
  <si>
    <t>Bergin</t>
  </si>
  <si>
    <t>Burgess</t>
  </si>
  <si>
    <t>Sterling</t>
  </si>
  <si>
    <t>Hannah</t>
  </si>
  <si>
    <t>Cain</t>
  </si>
  <si>
    <t>Coady</t>
  </si>
  <si>
    <t>Craig</t>
  </si>
  <si>
    <t>Cutler</t>
  </si>
  <si>
    <t>Cyr</t>
  </si>
  <si>
    <t>Talja</t>
  </si>
  <si>
    <t>de Jong</t>
  </si>
  <si>
    <t>Ariane</t>
  </si>
  <si>
    <t>de Passillé</t>
  </si>
  <si>
    <t>Sophie</t>
  </si>
  <si>
    <t>Josef</t>
  </si>
  <si>
    <t>Derrah</t>
  </si>
  <si>
    <t>Eli</t>
  </si>
  <si>
    <t>Dykeman</t>
  </si>
  <si>
    <t>Seth</t>
  </si>
  <si>
    <t>Fox</t>
  </si>
  <si>
    <t>Leah</t>
  </si>
  <si>
    <t>Lexie</t>
  </si>
  <si>
    <t>Getuaban</t>
  </si>
  <si>
    <t>Gorham</t>
  </si>
  <si>
    <t>Yuhang</t>
  </si>
  <si>
    <t>Guo</t>
  </si>
  <si>
    <t>Hall</t>
  </si>
  <si>
    <t>Sam</t>
  </si>
  <si>
    <t>Houghton</t>
  </si>
  <si>
    <t>Hudson</t>
  </si>
  <si>
    <t>Hovey</t>
  </si>
  <si>
    <t>Jaswal</t>
  </si>
  <si>
    <t>Shivshankar</t>
  </si>
  <si>
    <t>Lenehan</t>
  </si>
  <si>
    <t>Kate</t>
  </si>
  <si>
    <t>Ralph</t>
  </si>
  <si>
    <t>Little</t>
  </si>
  <si>
    <t>Matthew</t>
  </si>
  <si>
    <t>MacLean</t>
  </si>
  <si>
    <t>Morgan</t>
  </si>
  <si>
    <t>Landon</t>
  </si>
  <si>
    <t>Mason</t>
  </si>
  <si>
    <t>Manson</t>
  </si>
  <si>
    <t>Alex</t>
  </si>
  <si>
    <t>McMullen</t>
  </si>
  <si>
    <t>Jack</t>
  </si>
  <si>
    <t>Jackson</t>
  </si>
  <si>
    <t>Mix</t>
  </si>
  <si>
    <t>Moser</t>
  </si>
  <si>
    <t>River</t>
  </si>
  <si>
    <t>Charles Everett Wade</t>
  </si>
  <si>
    <t>Myles</t>
  </si>
  <si>
    <t>Rayleij</t>
  </si>
  <si>
    <t>Ortega</t>
  </si>
  <si>
    <t>Kelly</t>
  </si>
  <si>
    <t>Pare</t>
  </si>
  <si>
    <t>Alexander</t>
  </si>
  <si>
    <t>Pawluk</t>
  </si>
  <si>
    <t>Elin</t>
  </si>
  <si>
    <t>Pembridge</t>
  </si>
  <si>
    <t>Nia</t>
  </si>
  <si>
    <t>Seren</t>
  </si>
  <si>
    <t>Jane</t>
  </si>
  <si>
    <t>Phillips</t>
  </si>
  <si>
    <t>Finley</t>
  </si>
  <si>
    <t>Richmond-Waugh</t>
  </si>
  <si>
    <t>Ian</t>
  </si>
  <si>
    <t>Roherty</t>
  </si>
  <si>
    <t>Addison</t>
  </si>
  <si>
    <t>Russon</t>
  </si>
  <si>
    <t>Owen</t>
  </si>
  <si>
    <t>Hayden</t>
  </si>
  <si>
    <t>Sharpe</t>
  </si>
  <si>
    <t>Lucas</t>
  </si>
  <si>
    <t>Slack</t>
  </si>
  <si>
    <t>Lily-Jane</t>
  </si>
  <si>
    <t>Sparkes</t>
  </si>
  <si>
    <t>Avery</t>
  </si>
  <si>
    <t>Stuart</t>
  </si>
  <si>
    <t>Piper</t>
  </si>
  <si>
    <t>Weston</t>
  </si>
  <si>
    <t>Weeks</t>
  </si>
  <si>
    <t>Drew</t>
  </si>
  <si>
    <t>Wheaton</t>
  </si>
  <si>
    <t>Mia</t>
  </si>
  <si>
    <t>Rocco</t>
  </si>
  <si>
    <t>Charlie</t>
  </si>
  <si>
    <t>Category</t>
  </si>
  <si>
    <t>u19</t>
  </si>
  <si>
    <t>u16</t>
  </si>
  <si>
    <t>u14</t>
  </si>
  <si>
    <t>u12</t>
  </si>
  <si>
    <t>u10</t>
  </si>
  <si>
    <t>u8</t>
  </si>
  <si>
    <t>Year end</t>
  </si>
  <si>
    <t>Age</t>
  </si>
  <si>
    <t>Column1</t>
  </si>
  <si>
    <t>Column2</t>
  </si>
  <si>
    <t>Place </t>
  </si>
  <si>
    <t>Points</t>
  </si>
  <si>
    <t>ACA Number</t>
  </si>
  <si>
    <t xml:space="preserve">name </t>
  </si>
  <si>
    <t>Best 1 Run</t>
  </si>
  <si>
    <t>Column3</t>
  </si>
  <si>
    <t>Biswas</t>
  </si>
  <si>
    <t>PEI Alpine Race Club</t>
  </si>
  <si>
    <t>PEI</t>
  </si>
  <si>
    <t>PEI Alpine</t>
  </si>
  <si>
    <t>PEI Alpine Ski Association</t>
  </si>
  <si>
    <t>NAT2611</t>
  </si>
  <si>
    <t>Bethan</t>
  </si>
  <si>
    <t>Blacquiere</t>
  </si>
  <si>
    <t>Connor</t>
  </si>
  <si>
    <t>Adalyn</t>
  </si>
  <si>
    <t>Brown</t>
  </si>
  <si>
    <t>Aulay</t>
  </si>
  <si>
    <t>Finlay</t>
  </si>
  <si>
    <t>Maeve</t>
  </si>
  <si>
    <t>Coen</t>
  </si>
  <si>
    <t>Carroll</t>
  </si>
  <si>
    <t>Jameson</t>
  </si>
  <si>
    <t>Keefe</t>
  </si>
  <si>
    <t>Cassidy</t>
  </si>
  <si>
    <t>Euan</t>
  </si>
  <si>
    <t>Cong</t>
  </si>
  <si>
    <t>Ciaran</t>
  </si>
  <si>
    <t>Flanagan</t>
  </si>
  <si>
    <t>Nate</t>
  </si>
  <si>
    <t>Fry</t>
  </si>
  <si>
    <t>Cecily</t>
  </si>
  <si>
    <t>Luna</t>
  </si>
  <si>
    <t>Gong</t>
  </si>
  <si>
    <t>Goodwin</t>
  </si>
  <si>
    <t>Aaron</t>
  </si>
  <si>
    <t>He</t>
  </si>
  <si>
    <t>Freya</t>
  </si>
  <si>
    <t>Eliza</t>
  </si>
  <si>
    <t>Horrelt</t>
  </si>
  <si>
    <t>Harvey</t>
  </si>
  <si>
    <t>Hou</t>
  </si>
  <si>
    <t>Howard</t>
  </si>
  <si>
    <t>Mateo</t>
  </si>
  <si>
    <t>Jay</t>
  </si>
  <si>
    <t>Henry</t>
  </si>
  <si>
    <t>William</t>
  </si>
  <si>
    <t>Kyla</t>
  </si>
  <si>
    <t>Li</t>
  </si>
  <si>
    <t>Marcus</t>
  </si>
  <si>
    <t>Liu</t>
  </si>
  <si>
    <t>Carys</t>
  </si>
  <si>
    <t>MacEachern</t>
  </si>
  <si>
    <t>Joshua</t>
  </si>
  <si>
    <t>MacMillan</t>
  </si>
  <si>
    <t>Allister</t>
  </si>
  <si>
    <t>Michael-Bondt</t>
  </si>
  <si>
    <t>Clark</t>
  </si>
  <si>
    <t>Morrow</t>
  </si>
  <si>
    <t>Mac</t>
  </si>
  <si>
    <t>Murnaghan</t>
  </si>
  <si>
    <t>Menadora</t>
  </si>
  <si>
    <t>Rory</t>
  </si>
  <si>
    <t>Jenson</t>
  </si>
  <si>
    <t>Pickard</t>
  </si>
  <si>
    <t>Rakhshan</t>
  </si>
  <si>
    <t>Saez</t>
  </si>
  <si>
    <t>Lily</t>
  </si>
  <si>
    <t>Sauer</t>
  </si>
  <si>
    <t>Hanna</t>
  </si>
  <si>
    <t>Shen</t>
  </si>
  <si>
    <t>Elinor</t>
  </si>
  <si>
    <t>Steele</t>
  </si>
  <si>
    <t>Kye</t>
  </si>
  <si>
    <t>Meara</t>
  </si>
  <si>
    <t>Sui</t>
  </si>
  <si>
    <t>Lincoln</t>
  </si>
  <si>
    <t>Finn</t>
  </si>
  <si>
    <t>Wotherspoon</t>
  </si>
  <si>
    <t>Yu</t>
  </si>
  <si>
    <t>Elora</t>
  </si>
  <si>
    <t>Zhang</t>
  </si>
  <si>
    <t>Emily</t>
  </si>
  <si>
    <t>Jayden</t>
  </si>
  <si>
    <t>Zhou</t>
  </si>
  <si>
    <t>Slalom 1 run results</t>
  </si>
  <si>
    <t>GS 1 run results</t>
  </si>
  <si>
    <t>Super G 1 Run result</t>
  </si>
  <si>
    <t>Slalom 2 run race results</t>
  </si>
  <si>
    <t>Best result</t>
  </si>
  <si>
    <t>2nd Best Result</t>
  </si>
  <si>
    <t>Best 1 run SL race</t>
  </si>
  <si>
    <t>Best 1 run GS Race</t>
  </si>
  <si>
    <t>GS 2 run race results</t>
  </si>
  <si>
    <t>Start Number</t>
  </si>
  <si>
    <t>Bib</t>
  </si>
  <si>
    <t>Club/Quota</t>
  </si>
  <si>
    <t>Class</t>
  </si>
  <si>
    <t>Full Name</t>
  </si>
  <si>
    <t>Year of Birth</t>
  </si>
  <si>
    <t>First Run Result</t>
  </si>
  <si>
    <t>Second Run Result</t>
  </si>
  <si>
    <t>Combined Result</t>
  </si>
  <si>
    <t>FIS Number</t>
  </si>
  <si>
    <t>NAT Number</t>
  </si>
  <si>
    <t>run 1 times</t>
  </si>
  <si>
    <t>run 1 points</t>
  </si>
  <si>
    <t>run2 times</t>
  </si>
  <si>
    <t>run 2 points</t>
  </si>
  <si>
    <t>total time</t>
  </si>
  <si>
    <t>TT race points</t>
  </si>
  <si>
    <t>run 1 best time</t>
  </si>
  <si>
    <t>run 1 best time2</t>
  </si>
  <si>
    <t>combined best time</t>
  </si>
  <si>
    <t>WSRC</t>
  </si>
  <si>
    <t>U12</t>
  </si>
  <si>
    <t>EDWARDS  Helen</t>
  </si>
  <si>
    <t>REINER  Leonie</t>
  </si>
  <si>
    <t>Daigle  Chloe</t>
  </si>
  <si>
    <t>Slalom Factor</t>
  </si>
  <si>
    <t>GS Factor</t>
  </si>
  <si>
    <t>SG Factor</t>
  </si>
  <si>
    <t>MSRC</t>
  </si>
  <si>
    <t>NICHOLS  Madi</t>
  </si>
  <si>
    <t>Sharpe  Hayden</t>
  </si>
  <si>
    <t>MOIR  Sadie</t>
  </si>
  <si>
    <t>U12-14 female results</t>
  </si>
  <si>
    <t>Female U16+ results</t>
  </si>
  <si>
    <t>Stuart  Piper</t>
  </si>
  <si>
    <t>LAMBERT  Romy</t>
  </si>
  <si>
    <t>Getuaban  Lexie</t>
  </si>
  <si>
    <t>Maclean  Morgan</t>
  </si>
  <si>
    <t>FERRIER  Sofia</t>
  </si>
  <si>
    <t>Budd  Sadie</t>
  </si>
  <si>
    <t>de Passille  Sophie</t>
  </si>
  <si>
    <t>ALLAWAY  Myra</t>
  </si>
  <si>
    <t>Therrien  Jolyk</t>
  </si>
  <si>
    <t>GALLANT  Cecily</t>
  </si>
  <si>
    <t>STEELE  Elinor</t>
  </si>
  <si>
    <t>DEXTER  Madeleine</t>
  </si>
  <si>
    <t>Pembridge  Elin</t>
  </si>
  <si>
    <t>SARGEANT  Fiona</t>
  </si>
  <si>
    <t>Richardson  Adelyn</t>
  </si>
  <si>
    <t>Riley  Elliot</t>
  </si>
  <si>
    <t>Lee  Alexa</t>
  </si>
  <si>
    <t>DNS</t>
  </si>
  <si>
    <t>Lenehan  Kate</t>
  </si>
  <si>
    <t>DNF</t>
  </si>
  <si>
    <t>CARROLL  Jane</t>
  </si>
  <si>
    <t>NICKERSON  Kate</t>
  </si>
  <si>
    <t>LUTHER  Sabette</t>
  </si>
  <si>
    <t>HARTT  Grace</t>
  </si>
  <si>
    <t>Freeman  Elliette</t>
  </si>
  <si>
    <t>DSQ</t>
  </si>
  <si>
    <t>Macdonald  Julia</t>
  </si>
  <si>
    <t>Craig  Anna</t>
  </si>
  <si>
    <t>FERGUSON  Ceilidh</t>
  </si>
  <si>
    <t>U14</t>
  </si>
  <si>
    <t>BRUCE  Payton</t>
  </si>
  <si>
    <t>GAUDET  Niaya</t>
  </si>
  <si>
    <t>BAZIN  Charlotte</t>
  </si>
  <si>
    <t>FOX  Leah</t>
  </si>
  <si>
    <t>RIDEOUT  Naomi</t>
  </si>
  <si>
    <t>DE JONG  Talja</t>
  </si>
  <si>
    <t>SLATTERY  Alayna</t>
  </si>
  <si>
    <t>WHITE  Charlie</t>
  </si>
  <si>
    <t>PETERS  Brooke</t>
  </si>
  <si>
    <t>RUSSON  Addison</t>
  </si>
  <si>
    <t>ROY  Madelyn</t>
  </si>
  <si>
    <t>CYR  Ella</t>
  </si>
  <si>
    <t>COADY  Grace</t>
  </si>
  <si>
    <t>FOX  Claire</t>
  </si>
  <si>
    <t>ELLIS  Robin</t>
  </si>
  <si>
    <t>BERUBE  Emma</t>
  </si>
  <si>
    <t>MACDOW  Layla</t>
  </si>
  <si>
    <t>EISENHAUER  Julia</t>
  </si>
  <si>
    <t>CHILDS  Ella</t>
  </si>
  <si>
    <t>Pembridge  Seren</t>
  </si>
  <si>
    <t>BERGIN  Lucy</t>
  </si>
  <si>
    <t>BEAIRSTO  Evelyn</t>
  </si>
  <si>
    <t>DOUCET  Grace</t>
  </si>
  <si>
    <t>MACDOW  Jude</t>
  </si>
  <si>
    <t>U16</t>
  </si>
  <si>
    <t>HORRELT  Eliza</t>
  </si>
  <si>
    <t>JOHNS  Mary</t>
  </si>
  <si>
    <t>SAUER  Lily</t>
  </si>
  <si>
    <t>HILTON  Grace</t>
  </si>
  <si>
    <t>U19</t>
  </si>
  <si>
    <t>SPEARS  Kaitlyn</t>
  </si>
  <si>
    <t>STEELE  Lydia</t>
  </si>
  <si>
    <t>SPEARS  Rebecca</t>
  </si>
  <si>
    <t>Kipatrick  Julia</t>
  </si>
  <si>
    <t>EISENHAUER  Laura</t>
  </si>
  <si>
    <t>BEAIRSTO  Pearl</t>
  </si>
  <si>
    <t>WILLIAMS  Chelsey</t>
  </si>
  <si>
    <t>slattery  Elle</t>
  </si>
  <si>
    <t>CRUTCHER  Abby</t>
  </si>
  <si>
    <t>ROY  Olivia</t>
  </si>
  <si>
    <t>WALKER  Ainsley</t>
  </si>
  <si>
    <t>Church  Melanie</t>
  </si>
  <si>
    <t>LEE  Carrie</t>
  </si>
  <si>
    <t>CAMERON  Cassidy</t>
  </si>
  <si>
    <t>ROHERTY  Morgan</t>
  </si>
  <si>
    <t>BUDD  Miti</t>
  </si>
  <si>
    <t>PICARD  Zoé</t>
  </si>
  <si>
    <t>DE PASSILLÉ  Ariane</t>
  </si>
  <si>
    <t>PHILLIPS  Jane</t>
  </si>
  <si>
    <t>U18</t>
  </si>
  <si>
    <t>Colpitts  Alison</t>
  </si>
  <si>
    <t>MICHAUD  Elyse</t>
  </si>
  <si>
    <t>HEALY  Rachel</t>
  </si>
  <si>
    <t>MCMULLEN  Kate</t>
  </si>
  <si>
    <t>DOODY  Adrianna</t>
  </si>
  <si>
    <t>BURGESS  Ava</t>
  </si>
  <si>
    <t>COOKE  Charlotte</t>
  </si>
  <si>
    <t>BOIS  Mahéva</t>
  </si>
  <si>
    <t>GS 1 Run</t>
  </si>
  <si>
    <t>SG race</t>
  </si>
  <si>
    <t>Best SL race</t>
  </si>
  <si>
    <t>2nd Best SL race</t>
  </si>
  <si>
    <t>Best GS race</t>
  </si>
  <si>
    <t>2nd Best GS race</t>
  </si>
  <si>
    <t>SL 1 run</t>
  </si>
  <si>
    <t>Total Points</t>
  </si>
  <si>
    <t>U12-14 male results</t>
  </si>
  <si>
    <t>male U16+ results</t>
  </si>
  <si>
    <t>Female SL U16+ results</t>
  </si>
  <si>
    <t>male SL U16+ results</t>
  </si>
  <si>
    <t>U12-14 SL female results</t>
  </si>
  <si>
    <t>U12-14 male SL results</t>
  </si>
  <si>
    <t>Female U16+ GSresults</t>
  </si>
  <si>
    <t>U12-14 female GS results</t>
  </si>
  <si>
    <t>U12-14 male GS results</t>
  </si>
  <si>
    <t>male U16+ GS results</t>
  </si>
  <si>
    <t>U14+ SG race 1 female results</t>
  </si>
  <si>
    <t>Female U14+ SG race 2 results</t>
  </si>
  <si>
    <t>U14+ SG race 1 male results</t>
  </si>
  <si>
    <t>male U14+ SG race 2 results</t>
  </si>
  <si>
    <t>Selection Criteria</t>
  </si>
  <si>
    <t>PM SL1 R1</t>
  </si>
  <si>
    <t>PM SL1 R2</t>
  </si>
  <si>
    <t>PM SL2 R1</t>
  </si>
  <si>
    <t>PM SL2 R2</t>
  </si>
  <si>
    <t>MF SL1 R1</t>
  </si>
  <si>
    <t>MF SL1 R2</t>
  </si>
  <si>
    <t>CM SG R1</t>
  </si>
  <si>
    <t>CM SG R2</t>
  </si>
  <si>
    <t>CM GS1 R1</t>
  </si>
  <si>
    <t>CM GS1 R2</t>
  </si>
  <si>
    <t>CM GS2 R1</t>
  </si>
  <si>
    <t>CM GS2 R2</t>
  </si>
  <si>
    <t>MF GS R1</t>
  </si>
  <si>
    <t>MF GS R2</t>
  </si>
  <si>
    <t>PM SL1</t>
  </si>
  <si>
    <t>PM SL2</t>
  </si>
  <si>
    <t>MF SL</t>
  </si>
  <si>
    <t>CM GS1</t>
  </si>
  <si>
    <t>CM GS2</t>
  </si>
  <si>
    <t>MF GS</t>
  </si>
  <si>
    <t>Position</t>
  </si>
  <si>
    <t>Charlotte Bazin</t>
  </si>
  <si>
    <t>F-u14</t>
  </si>
  <si>
    <t>Robin Ellis</t>
  </si>
  <si>
    <t>Niaya Gaudet</t>
  </si>
  <si>
    <t>Jude MacDow</t>
  </si>
  <si>
    <t>Layla MacDow</t>
  </si>
  <si>
    <t>Naomi Rideout</t>
  </si>
  <si>
    <t>Emma Berube</t>
  </si>
  <si>
    <t>Grace Coady</t>
  </si>
  <si>
    <t>Talja de Jong</t>
  </si>
  <si>
    <t>Leah Fox</t>
  </si>
  <si>
    <t>Bella Goss</t>
  </si>
  <si>
    <t>Madelyn Roy</t>
  </si>
  <si>
    <t>Carmen Sandness</t>
  </si>
  <si>
    <t>Alayna Slattery</t>
  </si>
  <si>
    <t>Evelyn Beairsto</t>
  </si>
  <si>
    <t>Lucy Bergin</t>
  </si>
  <si>
    <t>Ella Cyr</t>
  </si>
  <si>
    <t>Claire Fox</t>
  </si>
  <si>
    <t>Seren Pembridge</t>
  </si>
  <si>
    <t>Addison Russon</t>
  </si>
  <si>
    <t>Charlie White</t>
  </si>
  <si>
    <t>Garrett Beaton</t>
  </si>
  <si>
    <t>M-u14</t>
  </si>
  <si>
    <t>Eliot Bacon</t>
  </si>
  <si>
    <t>Yuhang Guo</t>
  </si>
  <si>
    <t>Hunter Hovey</t>
  </si>
  <si>
    <t>Shivshankar Jaswal</t>
  </si>
  <si>
    <t>Jackson Mix</t>
  </si>
  <si>
    <t>Gordon Bennett</t>
  </si>
  <si>
    <t>Zack Leblanc</t>
  </si>
  <si>
    <t>Krystof Telgarsky</t>
  </si>
  <si>
    <t>Maxim Bois</t>
  </si>
  <si>
    <t>Landon Maillet</t>
  </si>
  <si>
    <t>Jack McMullen</t>
  </si>
  <si>
    <t>Charles Everett Wade Myles</t>
  </si>
  <si>
    <t>Rayleij Ortega</t>
  </si>
  <si>
    <t>Finley Richmond-Waugh</t>
  </si>
  <si>
    <t>Jolyk</t>
  </si>
  <si>
    <t>Reid Gallant</t>
  </si>
  <si>
    <t>Finlay Brown</t>
  </si>
  <si>
    <t>Nate Fry</t>
  </si>
  <si>
    <t>Alexander Saez</t>
  </si>
  <si>
    <t>TERAUDS  Griffin</t>
  </si>
  <si>
    <t>BRUCE  Beckett</t>
  </si>
  <si>
    <t>FLEISCHHAUER  Ryan</t>
  </si>
  <si>
    <t>Russon  Owen</t>
  </si>
  <si>
    <t>BOIS  Maxim</t>
  </si>
  <si>
    <t>LAROCHE  Reid</t>
  </si>
  <si>
    <t>GALLANT  Reid</t>
  </si>
  <si>
    <t>MCMULLEN  Jack</t>
  </si>
  <si>
    <t>Berube  Thomas</t>
  </si>
  <si>
    <t>WALKER  Samuel</t>
  </si>
  <si>
    <t>KAROUNTZOS  Niko</t>
  </si>
  <si>
    <t>JOHNS  Michael</t>
  </si>
  <si>
    <t>Maclean  Matthew</t>
  </si>
  <si>
    <t>LEBLANC  Zack</t>
  </si>
  <si>
    <t>Moser  River</t>
  </si>
  <si>
    <t>FRY  Nate</t>
  </si>
  <si>
    <t>BROWN  Finlay</t>
  </si>
  <si>
    <t>BEATON  Garrett</t>
  </si>
  <si>
    <t>MILLER  Clark</t>
  </si>
  <si>
    <t>BROWN  Aulay</t>
  </si>
  <si>
    <t>wheaton  Rocco</t>
  </si>
  <si>
    <t>Gorham  Oliver</t>
  </si>
  <si>
    <t>Faulkner  Ethan</t>
  </si>
  <si>
    <t>Bennett  Gordon</t>
  </si>
  <si>
    <t>KAROUNTZOS  Eli</t>
  </si>
  <si>
    <t>CHILDS  Thomas</t>
  </si>
  <si>
    <t>JENKINS  Henry</t>
  </si>
  <si>
    <t>BRENNAN LEPHOLTZ  Jack</t>
  </si>
  <si>
    <t>WOTHERSPOON  Finn</t>
  </si>
  <si>
    <t>CROUSE  Justin</t>
  </si>
  <si>
    <t>HOVEY  Hunter</t>
  </si>
  <si>
    <t>BEYEA  Jack</t>
  </si>
  <si>
    <t>HILTON  Emmett</t>
  </si>
  <si>
    <t>LANDRY  Levi</t>
  </si>
  <si>
    <t>BRADLEY  Jaxon</t>
  </si>
  <si>
    <t>Schraefel  Oscar</t>
  </si>
  <si>
    <t>GILLIS  Cameron</t>
  </si>
  <si>
    <t>BRENNAN LEPHOLTZ  Max</t>
  </si>
  <si>
    <t>SHANMUGANATHAN  Kai</t>
  </si>
  <si>
    <t>Roy  Olivier</t>
  </si>
  <si>
    <t>ORTEGA  Rayleij</t>
  </si>
  <si>
    <t>BACON  Eliot</t>
  </si>
  <si>
    <t>Burgess  Sterling</t>
  </si>
  <si>
    <t>Birch  Ewan</t>
  </si>
  <si>
    <t>MIX  Jackson</t>
  </si>
  <si>
    <t>Acker  Will</t>
  </si>
  <si>
    <t>HOUNSOM  Isaac</t>
  </si>
  <si>
    <t>Siena Arsenault</t>
  </si>
  <si>
    <t>F-u16</t>
  </si>
  <si>
    <t>Miti Budd</t>
  </si>
  <si>
    <t>Elyse Michaud</t>
  </si>
  <si>
    <t>Ava Burgess</t>
  </si>
  <si>
    <t>Ariane de Passillé</t>
  </si>
  <si>
    <t>Kate McMullen</t>
  </si>
  <si>
    <t>Jane Phillips</t>
  </si>
  <si>
    <t>Carrie Lee</t>
  </si>
  <si>
    <t>Olivia Roy</t>
  </si>
  <si>
    <t>Mahéva Bois</t>
  </si>
  <si>
    <t>Esau Bennett</t>
  </si>
  <si>
    <t>M-u16</t>
  </si>
  <si>
    <t>Larkin Ellis</t>
  </si>
  <si>
    <t>Robbie Stevenson</t>
  </si>
  <si>
    <t>Vincent Viens</t>
  </si>
  <si>
    <t>Declan Bardsley</t>
  </si>
  <si>
    <t>Liam Houghton</t>
  </si>
  <si>
    <t>Hudson Hovey</t>
  </si>
  <si>
    <t>Holden Doherty</t>
  </si>
  <si>
    <t>Baxter MacDow</t>
  </si>
  <si>
    <t>Liam Andersen Duguay</t>
  </si>
  <si>
    <t>Isak Picard</t>
  </si>
  <si>
    <t>Lucas Slack</t>
  </si>
  <si>
    <t>Declan White</t>
  </si>
  <si>
    <t>Kilpatrick  Julia</t>
  </si>
  <si>
    <t>HOUGHTON  Liam</t>
  </si>
  <si>
    <t>VIENS  Vincent</t>
  </si>
  <si>
    <t>SLACK  Lucas</t>
  </si>
  <si>
    <t>HOVEY  Hudson</t>
  </si>
  <si>
    <t>PICARD  Isak</t>
  </si>
  <si>
    <t>DUGUAY  Liam Andersen</t>
  </si>
  <si>
    <t>ROBSON  Marcus</t>
  </si>
  <si>
    <t>LIU  Marcus</t>
  </si>
  <si>
    <t>MORIN  Grant</t>
  </si>
  <si>
    <t>EDWARDS  Henry</t>
  </si>
  <si>
    <t>BENNETT  Esau</t>
  </si>
  <si>
    <t>WICKWIRE  Gavin</t>
  </si>
  <si>
    <t>JENKINS  William</t>
  </si>
  <si>
    <t>ELLIS  Larkin</t>
  </si>
  <si>
    <t>Dupuis  Patrick</t>
  </si>
  <si>
    <t>THERRIEN  Jacob</t>
  </si>
  <si>
    <t>HENCKAERTS  Arthur</t>
  </si>
  <si>
    <t>WOTHERSPOON  Reid</t>
  </si>
  <si>
    <t>MACDOW  Baxter</t>
  </si>
  <si>
    <t>TOWNSEND  Will</t>
  </si>
  <si>
    <t>LEE  Nathan</t>
  </si>
  <si>
    <t>DOHERTY  Holden</t>
  </si>
  <si>
    <t>DERRAH  Josef</t>
  </si>
  <si>
    <t>STEWART  Chase</t>
  </si>
  <si>
    <t>COOKE  Ben</t>
  </si>
  <si>
    <t>WHITE  Declan</t>
  </si>
  <si>
    <t>BARDSLEY  Declan</t>
  </si>
  <si>
    <t>SIMMS  William</t>
  </si>
  <si>
    <t>Frantisek Telgarsky</t>
  </si>
  <si>
    <t>M-u12</t>
  </si>
  <si>
    <t>Thomas Berube</t>
  </si>
  <si>
    <t>Olivier Roy</t>
  </si>
  <si>
    <t>Sam Hall</t>
  </si>
  <si>
    <t>River Moser</t>
  </si>
  <si>
    <t>Weston Weeks</t>
  </si>
  <si>
    <t>Drew Wheaton</t>
  </si>
  <si>
    <t>Will Acker</t>
  </si>
  <si>
    <t>Leo Chandler</t>
  </si>
  <si>
    <t>Ethan Faulkner</t>
  </si>
  <si>
    <t>Bennett Mahoney</t>
  </si>
  <si>
    <t>Camden Matheson</t>
  </si>
  <si>
    <t>Ethan Maxwell</t>
  </si>
  <si>
    <t>Maurizio (Mo) Santori</t>
  </si>
  <si>
    <t>Samuel Belanger</t>
  </si>
  <si>
    <t>Sterling Burgess</t>
  </si>
  <si>
    <t>Oliver Gorham</t>
  </si>
  <si>
    <t>Matthew MacLean</t>
  </si>
  <si>
    <t>Owen Russon</t>
  </si>
  <si>
    <t>Rocco Wheaton</t>
  </si>
  <si>
    <t>Sadie Budd</t>
  </si>
  <si>
    <t>F-u12</t>
  </si>
  <si>
    <t>Elliette Freeman</t>
  </si>
  <si>
    <t>Anita Ryan</t>
  </si>
  <si>
    <t>Chloe Cutler</t>
  </si>
  <si>
    <t>Lexie Getuaban</t>
  </si>
  <si>
    <t>Kate Lenehan</t>
  </si>
  <si>
    <t>Morgan MacLean</t>
  </si>
  <si>
    <t>Hayden Sharpe</t>
  </si>
  <si>
    <t>Piper Stuart</t>
  </si>
  <si>
    <t>Ella Laird</t>
  </si>
  <si>
    <t>Chloe Leblanc</t>
  </si>
  <si>
    <t>Julia MacDonald</t>
  </si>
  <si>
    <t>Adelyn Richardson</t>
  </si>
  <si>
    <t>Elliot Riley</t>
  </si>
  <si>
    <t>Chloé Daigle</t>
  </si>
  <si>
    <t>Anna Craig</t>
  </si>
  <si>
    <t>Sophie de Passillé</t>
  </si>
  <si>
    <t>Elin Pembridge</t>
  </si>
  <si>
    <t>Arthur Henckaerts</t>
  </si>
  <si>
    <t>M-u19</t>
  </si>
  <si>
    <t>Simon Arsenault</t>
  </si>
  <si>
    <t>Jacob Therrien</t>
  </si>
  <si>
    <t>Josef Derrah</t>
  </si>
  <si>
    <t>Nathan Lee</t>
  </si>
  <si>
    <t>Grant Morin</t>
  </si>
  <si>
    <t>Lily-Jane Sparkes</t>
  </si>
  <si>
    <t>F-u19</t>
  </si>
  <si>
    <t>Sofia Murray</t>
  </si>
  <si>
    <t>Isabel Michaud</t>
  </si>
  <si>
    <t>Zoé Picard</t>
  </si>
  <si>
    <t>Abigail Manson</t>
  </si>
  <si>
    <t>Chelsey Williams</t>
  </si>
  <si>
    <t>Pearl Beairsto</t>
  </si>
  <si>
    <t>Lucy Hall</t>
  </si>
  <si>
    <t>Morgan Roherty</t>
  </si>
  <si>
    <t>BEST</t>
  </si>
  <si>
    <t>WILSON  Zoe</t>
  </si>
  <si>
    <t>MACLENNAN  Macy</t>
  </si>
  <si>
    <t>BARTLETT  Emma</t>
  </si>
  <si>
    <t>DOUCET  Paige</t>
  </si>
  <si>
    <t>MACDONALD  Maggie</t>
  </si>
  <si>
    <t>CHURCH  Melanie</t>
  </si>
  <si>
    <t>WILLIMENT  Makayla</t>
  </si>
  <si>
    <t>KILPATRICK  Julia</t>
  </si>
  <si>
    <t>SLATTERY  Elle</t>
  </si>
  <si>
    <t>WOO  Nathan</t>
  </si>
  <si>
    <t>TERAUDS  Fletcher</t>
  </si>
  <si>
    <t>CSRT</t>
  </si>
  <si>
    <t>HAWLEY  Seth</t>
  </si>
  <si>
    <t>STEVENSON  Robbie</t>
  </si>
  <si>
    <t>CARPENTER  Owen</t>
  </si>
  <si>
    <t>LEWIS  Vaughan</t>
  </si>
  <si>
    <t>MACDONALD  Calum</t>
  </si>
  <si>
    <t>OULTON  Alister</t>
  </si>
  <si>
    <t>U21</t>
  </si>
  <si>
    <t>LEGER  Mack</t>
  </si>
  <si>
    <t>ROSSI  Noah</t>
  </si>
  <si>
    <t>DUPUIS  Patrick</t>
  </si>
  <si>
    <t>ROGERS  Rylon</t>
  </si>
  <si>
    <t>SLATTERY  Caelan</t>
  </si>
  <si>
    <t>CVA</t>
  </si>
  <si>
    <t>Landry  Norah</t>
  </si>
  <si>
    <t>SPENCER  Sydney</t>
  </si>
  <si>
    <t>CARR  Leah</t>
  </si>
  <si>
    <t>McGrail  Olivia</t>
  </si>
  <si>
    <t>HILLIARD  Katherine</t>
  </si>
  <si>
    <t>Lewis  Neve</t>
  </si>
  <si>
    <t>COOKE  Kielee</t>
  </si>
  <si>
    <t>WHITE  Lavina</t>
  </si>
  <si>
    <t>Wood  Nellie</t>
  </si>
  <si>
    <t>MacLean  Morgan</t>
  </si>
  <si>
    <t>Dakers  Isla</t>
  </si>
  <si>
    <t>JAKEMAN  Jess</t>
  </si>
  <si>
    <t>Cutler  Chloe</t>
  </si>
  <si>
    <t>de Passillé  Sophie</t>
  </si>
  <si>
    <t>Gray  Addison</t>
  </si>
  <si>
    <t>SCOTHORN  Alexa</t>
  </si>
  <si>
    <t>Daigle  Chloé</t>
  </si>
  <si>
    <t>Cannam  Camille</t>
  </si>
  <si>
    <t>STRUM  Fia</t>
  </si>
  <si>
    <t>Marcisso  Willa</t>
  </si>
  <si>
    <t>Holman  Molly</t>
  </si>
  <si>
    <t>LEMIEUX  Noah</t>
  </si>
  <si>
    <t>Sapak  Henry</t>
  </si>
  <si>
    <t>Brochu  Henry</t>
  </si>
  <si>
    <t>WHITE  Oakley</t>
  </si>
  <si>
    <t>LEMIEUX  Nathaniel</t>
  </si>
  <si>
    <t>MacLean  Matthew</t>
  </si>
  <si>
    <t>Bartlett  Carter</t>
  </si>
  <si>
    <t>Belanger  Samuel</t>
  </si>
  <si>
    <t>GIBBS  Evan</t>
  </si>
  <si>
    <t>STSAV</t>
  </si>
  <si>
    <t>LESIEGE  Alexis</t>
  </si>
  <si>
    <t>Hilderbrand  Finn</t>
  </si>
  <si>
    <t>MACLENNAN  Reid</t>
  </si>
  <si>
    <t>ROY  Alexander</t>
  </si>
  <si>
    <t>Wheaton  Drew</t>
  </si>
  <si>
    <t>Wheaton  Rocco</t>
  </si>
  <si>
    <t>LUNDRIGAN  Marcos</t>
  </si>
  <si>
    <t>Lowe  Parker</t>
  </si>
  <si>
    <t>MacMillan  Kenzie</t>
  </si>
  <si>
    <t>Hall  Sam</t>
  </si>
  <si>
    <t>BENNETT  Gordon</t>
  </si>
  <si>
    <t>Weeks  Weston</t>
  </si>
  <si>
    <t>Ponitz  Preston</t>
  </si>
  <si>
    <t>Brennan Lepholtz  Jack</t>
  </si>
  <si>
    <t>LEWIS  Nève</t>
  </si>
  <si>
    <t>Leger  Mack</t>
  </si>
  <si>
    <t>COLPITTS  Alison</t>
  </si>
  <si>
    <t>MICHAUD  Isabel</t>
  </si>
  <si>
    <t>MacDonald  Julia</t>
  </si>
  <si>
    <t>MACEACHERN  Carys</t>
  </si>
  <si>
    <t>LEE  Alexa</t>
  </si>
  <si>
    <t>PEMBRIDGE  Seren</t>
  </si>
  <si>
    <t>NAT2617</t>
  </si>
  <si>
    <t>Dylan</t>
  </si>
  <si>
    <t>Mark</t>
  </si>
  <si>
    <t>Lillian</t>
  </si>
  <si>
    <t>Graves</t>
  </si>
  <si>
    <t>Aaloak</t>
  </si>
  <si>
    <t>Mack</t>
  </si>
  <si>
    <t>Leger</t>
  </si>
  <si>
    <t>Derek</t>
  </si>
  <si>
    <t>Erin</t>
  </si>
  <si>
    <t>Willis</t>
  </si>
  <si>
    <t>Melanie</t>
  </si>
  <si>
    <t>Church</t>
  </si>
  <si>
    <t>Alison</t>
  </si>
  <si>
    <t>Colpitts</t>
  </si>
  <si>
    <t>Patrick</t>
  </si>
  <si>
    <t>Dupuis</t>
  </si>
  <si>
    <t>Kilpatrick</t>
  </si>
  <si>
    <t>Sawyer</t>
  </si>
  <si>
    <t>Caelan</t>
  </si>
  <si>
    <t>Charli</t>
  </si>
  <si>
    <t>Clavette</t>
  </si>
  <si>
    <t>Meliane</t>
  </si>
  <si>
    <t>Melanie Church</t>
  </si>
  <si>
    <t>Julia Kilpatrick</t>
  </si>
  <si>
    <t>Elle Slattery</t>
  </si>
  <si>
    <t>Caelan Slattery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</si>
</sst>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:ss.00"/>
  </numFmts>
  <fonts count="5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4" fillId="0" borderId="0"/>
  </cellStyleXfs>
  <cellXfs count="9">
    <xf numFmtId="0" fontId="0" fillId="0" borderId="0" xfId="0"/>
    <xf numFmtId="164" fontId="0" fillId="0" borderId="0" xfId="0" applyNumberFormat="1"/>
    <xf numFmtId="164" fontId="0" fillId="2" borderId="0" xfId="0" applyNumberFormat="1" applyFill="1"/>
    <xf numFmtId="0" fontId="0" fillId="2" borderId="0" xfId="0" applyFill="1"/>
    <xf numFmtId="0" fontId="3" fillId="0" borderId="0" xfId="0" applyFont="1"/>
    <xf numFmtId="47" fontId="0" fillId="0" borderId="0" xfId="0" applyNumberFormat="1"/>
    <xf numFmtId="2" fontId="0" fillId="0" borderId="0" xfId="0" applyNumberForma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2">
    <cellStyle name="Normal" xfId="0" builtinId="0"/>
    <cellStyle name="Normal 2" xfId="1" xr:uid="{1401099F-1910-4C51-A478-3A1161ADF265}"/>
  </cellStyles>
  <dxfs count="638"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29" formatCode="mm:ss.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29" formatCode="mm:ss.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29" formatCode="mm:ss.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29" formatCode="mm:ss.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29" formatCode="mm:ss.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29" formatCode="mm:ss.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29" formatCode="mm:ss.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29" formatCode="mm:ss.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164" formatCode="mm:ss.00"/>
    </dxf>
    <dxf>
      <numFmt numFmtId="164" formatCode="mm:ss.00"/>
    </dxf>
    <dxf>
      <numFmt numFmtId="29" formatCode="mm:ss.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2" formatCode="0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164" formatCode="mm:ss.00"/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164" formatCode="mm:ss.00"/>
      <fill>
        <patternFill patternType="solid">
          <fgColor indexed="64"/>
          <bgColor rgb="FFFFFF00"/>
        </patternFill>
      </fill>
    </dxf>
    <dxf>
      <numFmt numFmtId="164" formatCode="mm:ss.00"/>
    </dxf>
    <dxf>
      <numFmt numFmtId="164" formatCode="mm:ss.00"/>
    </dxf>
    <dxf>
      <numFmt numFmtId="164" formatCode="mm:ss.0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0E56922-2EC4-4735-9A75-2A845427B185}" name="Table1" displayName="Table1" ref="A1:W231" totalsRowShown="0">
  <autoFilter ref="A1:W231" xr:uid="{60E56922-2EC4-4735-9A75-2A845427B185}"/>
  <sortState xmlns:xlrd2="http://schemas.microsoft.com/office/spreadsheetml/2017/richdata2" ref="A2:W231">
    <sortCondition ref="C1:C231"/>
  </sortState>
  <tableColumns count="23">
    <tableColumn id="1" xr3:uid="{677EF869-7AA2-4CA8-97EE-429858421478}" name="Card"/>
    <tableColumn id="21" xr3:uid="{EB0DA297-8AAD-4994-A00B-3F5ED01493DC}" name="Column1" dataDxfId="634">
      <calculatedColumnFormula>CONCATENATE(Table1[[#This Row],[Fname]]," ",Table1[[#This Row],[Lname]])</calculatedColumnFormula>
    </tableColumn>
    <tableColumn id="22" xr3:uid="{81CCA2F1-5778-43C8-A402-8946D35AFEA5}" name="Column2" dataDxfId="633">
      <calculatedColumnFormula>CONCATENATE(Table1[[#This Row],[Sex]],"-",Table1[[#This Row],[Column3]])</calculatedColumnFormula>
    </tableColumn>
    <tableColumn id="2" xr3:uid="{A21BAB04-ECF2-4B85-B24C-22818A37F174}" name="Fname"/>
    <tableColumn id="3" xr3:uid="{CC02A8BD-7B6E-4458-B796-F601A76A16B4}" name="Lname"/>
    <tableColumn id="4" xr3:uid="{7EDA93BE-0B69-4CDB-9A49-6534C5522E1C}" name="YOB"/>
    <tableColumn id="23" xr3:uid="{56E48874-16C4-4AC8-8FAB-2742F25B8DDF}" name="Column3" dataDxfId="632">
      <calculatedColumnFormula>_xlfn.XLOOKUP(Table1[[#This Row],[YOB]],Table2[YOB],Table2[Category])</calculatedColumnFormula>
    </tableColumn>
    <tableColumn id="5" xr3:uid="{64225730-279A-4225-B3ED-B5BEC862C71F}" name="Sex"/>
    <tableColumn id="6" xr3:uid="{F9AE92CE-2524-4DA7-AF89-C082FE64B6F5}" name="clubName"/>
    <tableColumn id="7" xr3:uid="{2C5B8745-1289-4B3A-83B0-FA8A0A6D7369}" name="clubAbr"/>
    <tableColumn id="8" xr3:uid="{9D29436F-B05E-4C93-9977-8825DA7E4669}" name="PTSOAbr"/>
    <tableColumn id="9" xr3:uid="{43C94255-3854-4BE9-86B0-1210975E3E7B}" name="PTSOName"/>
    <tableColumn id="10" xr3:uid="{65D681E9-56C6-4E4F-9EAF-8C87E7038A59}" name="PTSONameFull"/>
    <tableColumn id="11" xr3:uid="{A55C3597-135C-4E89-8E28-FA75DE8ED936}" name="prov"/>
    <tableColumn id="12" xr3:uid="{5A5D1837-8CCA-43FA-A096-81949B0F94B2}" name="categoryName"/>
    <tableColumn id="13" xr3:uid="{5C1017FA-01A8-4C84-888E-76C861A3C8A5}" name="categoryShortName"/>
    <tableColumn id="14" xr3:uid="{A889C1EF-1B13-4C3F-A66C-2BB485EABF5D}" name="compCard"/>
    <tableColumn id="15" xr3:uid="{C4F30BE5-DF05-46CC-B64B-FF0B964DB082}" name="currentList"/>
    <tableColumn id="16" xr3:uid="{C06B43E7-CF51-4D52-8051-E5F9DE0D3B06}" name="SL"/>
    <tableColumn id="17" xr3:uid="{F8FC8C14-5628-4D1D-9B8D-4D44106A9F42}" name="GS"/>
    <tableColumn id="18" xr3:uid="{43BB5F2F-3D13-4B31-81B0-3468FDFDA93F}" name="SG"/>
    <tableColumn id="19" xr3:uid="{36AD9FAB-5A22-41C9-8674-C1438DE4EB8E}" name="DH"/>
    <tableColumn id="20" xr3:uid="{C38F4101-37C9-4626-BA89-B49E8EAC9CBA}" name="AC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2" xr:uid="{DA180DE8-9ADA-4641-92BD-6A21A4422A34}" name="Table121158183" displayName="Table121158183" ref="A2:J22" totalsRowShown="0">
  <autoFilter ref="A2:J22" xr:uid="{85C0A356-491F-445E-A4A9-9FE52FC76524}"/>
  <sortState xmlns:xlrd2="http://schemas.microsoft.com/office/spreadsheetml/2017/richdata2" ref="A3:J21">
    <sortCondition ref="J2:J21"/>
  </sortState>
  <tableColumns count="10">
    <tableColumn id="1" xr3:uid="{660AC69C-8CF2-4C89-A933-4FB8D9090BBE}" name="ACA Number"/>
    <tableColumn id="2" xr3:uid="{D0B26C09-98C8-49FB-BF03-FD53C2FE4A8E}" name="name "/>
    <tableColumn id="3" xr3:uid="{271B682E-BD67-436A-975E-96F3746258CE}" name="Category"/>
    <tableColumn id="4" xr3:uid="{BD277BDC-66C5-4160-93D6-D59D98D9F0E1}" name="PM SL1 R1" dataDxfId="599">
      <calculatedColumnFormula>_xlfn.XLOOKUP(Table121158183[[#This Row],[ACA Number]],Table127[NAT Number],Table127[run 1 points])</calculatedColumnFormula>
    </tableColumn>
    <tableColumn id="5" xr3:uid="{065A51E2-CC2B-4594-84AC-54039E7107FC}" name="PM SL1 R2" dataDxfId="598">
      <calculatedColumnFormula>_xlfn.XLOOKUP(Table121158183[[#This Row],[ACA Number]],Table127[NAT Number],Table127[run 2 points])</calculatedColumnFormula>
    </tableColumn>
    <tableColumn id="6" xr3:uid="{16B59E9F-3C57-4BC4-866A-A6C85850BC20}" name="PM SL2 R1" dataDxfId="597">
      <calculatedColumnFormula>_xlfn.XLOOKUP(Table121158183[[#This Row],[ACA Number]],Table12716[NAT Number],Table12716[run 1 points])</calculatedColumnFormula>
    </tableColumn>
    <tableColumn id="7" xr3:uid="{20D6408D-6DD7-493B-8C51-49D4249549AB}" name="PM SL2 R2" dataDxfId="596">
      <calculatedColumnFormula>_xlfn.XLOOKUP(Table121158183[[#This Row],[ACA Number]],Table12716[NAT Number],Table12716[run 2 points])</calculatedColumnFormula>
    </tableColumn>
    <tableColumn id="8" xr3:uid="{97858F9A-00DF-4807-AEFA-77092C759F2E}" name="MF SL1 R1" dataDxfId="595">
      <calculatedColumnFormula>_xlfn.XLOOKUP(Table121158183[[#This Row],[ACA Number]],Table12716313749617385[NAT Number],Table12716313749617385[run 1 points])</calculatedColumnFormula>
    </tableColumn>
    <tableColumn id="9" xr3:uid="{AD200DAE-C1ED-43A9-B3D4-456FBF73F5B4}" name="MF SL1 R2" dataDxfId="594">
      <calculatedColumnFormula>_xlfn.XLOOKUP(Table121158183[[#This Row],[ACA Number]],Table12716313749617385[NAT Number],Table12716313749617385[run 2 points])</calculatedColumnFormula>
    </tableColumn>
    <tableColumn id="10" xr3:uid="{A8C306B8-0026-41ED-9892-AC43E420F30D}" name="Best 1 run SL race" dataDxfId="593">
      <calculatedColumnFormula array="1">_xlfn.LET(_xlpm.r,Table121158183[[#This Row],[PM SL1 R1]:[MF SL1 R2]],_xlpm.m,_xlfn.AGGREGATE(15,6,_xlpm.r/(_xlpm.r&lt;&gt;999.99),1),IFERROR(_xlpm.m,999.99))</calculatedColumnFormula>
    </tableColumn>
  </tableColumns>
  <tableStyleInfo name="TableStyleMedium2" showFirstColumn="0" showLastColumn="0" showRowStripes="1" showColumnStripes="0"/>
</table>
</file>

<file path=xl/tables/table10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7" xr:uid="{0A4E5964-B320-4075-9A3F-8ABCECBBF56E}" name="Table138173244566898" displayName="Table138173244566898" ref="S2:U3" totalsRowShown="0" dataDxfId="146">
  <autoFilter ref="S2:U3" xr:uid="{1E967C82-9863-4FB8-B686-759949E1096A}"/>
  <tableColumns count="3">
    <tableColumn id="1" xr3:uid="{EA3E33E8-EE18-44D6-A6EE-FCD1B9608A35}" name="run 1 best time" dataDxfId="145">
      <calculatedColumnFormula>MIN(Table127163143556797[run 1 times])</calculatedColumnFormula>
    </tableColumn>
    <tableColumn id="2" xr3:uid="{B27F23CD-1AE3-4A4F-A416-A3ACA663CFC1}" name="run 1 best time2" dataDxfId="144">
      <calculatedColumnFormula>MIN(Table127163143556797[run2 times])</calculatedColumnFormula>
    </tableColumn>
    <tableColumn id="3" xr3:uid="{7B5D9765-5554-4295-B38A-19DEE05AA28B}" name="combined best time" dataDxfId="143">
      <calculatedColumnFormula>MIN(Table127163143556797[total time])</calculatedColumnFormula>
    </tableColumn>
  </tableColumns>
  <tableStyleInfo name="TableStyleMedium4" showFirstColumn="0" showLastColumn="0" showRowStripes="1" showColumnStripes="0"/>
</table>
</file>

<file path=xl/tables/table10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8" xr:uid="{E85A2F52-DECA-4983-A4CC-110B3C387D38}" name="Table149183345576999" displayName="Table149183345576999" ref="S5:U6" totalsRowShown="0">
  <autoFilter ref="S5:U6" xr:uid="{8A7932AC-08B3-45BE-A62F-71E99F9C6FCB}"/>
  <tableColumns count="3">
    <tableColumn id="1" xr3:uid="{C431F16E-BD7B-4149-80CC-601791CC7783}" name="Slalom Factor"/>
    <tableColumn id="2" xr3:uid="{49CD2926-8505-46E9-95D4-D103124B9262}" name="GS Factor"/>
    <tableColumn id="3" xr3:uid="{4D7D6994-7C92-421A-9D45-7F671B2CABCA}" name="SG Factor"/>
  </tableColumns>
  <tableStyleInfo name="TableStyleMedium3" showFirstColumn="0" showLastColumn="0" showRowStripes="1" showColumnStripes="0"/>
</table>
</file>

<file path=xl/tables/table10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9" xr:uid="{315D4197-8D8D-488A-9940-AADA7D361064}" name="Table1221101934465870100" displayName="Table1221101934465870100" ref="W2:AM38" totalsRowShown="0">
  <autoFilter ref="W2:AM38" xr:uid="{5C573A4F-9860-45EF-8B7A-2953F0241575}"/>
  <sortState xmlns:xlrd2="http://schemas.microsoft.com/office/spreadsheetml/2017/richdata2" ref="W3:AM6">
    <sortCondition ref="AH2:AH6"/>
  </sortState>
  <tableColumns count="17">
    <tableColumn id="1" xr3:uid="{1A291174-8E9D-4752-9FD9-56D2DD44D529}" name="Start Number"/>
    <tableColumn id="2" xr3:uid="{BBF2440A-D761-4042-9E3F-CCEC8A0B9C7C}" name="Bib"/>
    <tableColumn id="3" xr3:uid="{10E0C5B1-5135-49DC-8D23-67401F875E08}" name="Club/Quota"/>
    <tableColumn id="4" xr3:uid="{388504AA-2DB7-4EDF-96DF-8441EC412B74}" name="Class"/>
    <tableColumn id="5" xr3:uid="{FA767BB5-E780-4021-AE33-58150020CE46}" name="Full Name"/>
    <tableColumn id="6" xr3:uid="{0590A00B-802A-451A-B63C-F87E1349F8E3}" name="Year of Birth"/>
    <tableColumn id="7" xr3:uid="{A9CB8A28-58A4-477A-A1B2-DD7DB2D57823}" name="First Run Result" dataDxfId="142"/>
    <tableColumn id="8" xr3:uid="{2A9C7DB6-2063-4B30-85D4-2B24FF29285F}" name="Second Run Result" dataDxfId="141"/>
    <tableColumn id="9" xr3:uid="{6DBB367C-088D-491C-B4E8-A6E7CDE75D36}" name="Combined Result" dataDxfId="140"/>
    <tableColumn id="10" xr3:uid="{9BE798E9-8A55-4137-8490-170A4A1733DE}" name="FIS Number"/>
    <tableColumn id="11" xr3:uid="{5ECA1FA1-E76B-4223-94DC-C137E59A821C}" name="NAT Number"/>
    <tableColumn id="12" xr3:uid="{64B78DA0-75E0-4076-98F2-C063AF7FD1FC}" name="run 1 times" dataDxfId="139">
      <calculatedColumnFormula>_xlfn.LET(_xlpm.x,Table1221101934465870100[[#This Row],[First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3" xr3:uid="{D48C4A31-4B3C-4138-96CA-1654CA9BBF00}" name="run 1 points" dataDxfId="138">
      <calculatedColumnFormula>IF(Table1221101934465870100[[#This Row],[run 1 times]]="",999.99,IF(Table1221101934465870100[[#This Row],[run 1 times]]=$AO$3,0,MAX(0,ROUND(((Table1221101934465870100[[#This Row],[run 1 times]]-$AO$3)/$AO$3)*$AO$6,2))))</calculatedColumnFormula>
    </tableColumn>
    <tableColumn id="14" xr3:uid="{B61619B5-D161-4AF9-9353-2F138CBC9CCE}" name="run2 times" dataDxfId="137">
      <calculatedColumnFormula>_xlfn.LET(_xlpm.x,Table1221101934465870100[[#This Row],[Second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5" xr3:uid="{7EBE4978-2CA8-4D59-99FD-483A0D1632AB}" name="run 2 points" dataDxfId="136">
      <calculatedColumnFormula>IF(Table1221101934465870100[[#This Row],[run2 times]]="",999.99,IF(Table1221101934465870100[[#This Row],[run2 times]]=$AP$3,0,MAX(0,ROUND(((Table1221101934465870100[[#This Row],[run2 times]]-$AP$3)/$AP$3)*$AO$6,2))))</calculatedColumnFormula>
    </tableColumn>
    <tableColumn id="16" xr3:uid="{F78978E7-20CD-435C-86B7-33A4BA58E2EC}" name="total time" dataDxfId="135">
      <calculatedColumnFormula>IF(OR(Table1221101934465870100[[#This Row],[run 1 times]]="",Table1221101934465870100[[#This Row],[run2 times]]=""),"",Table1221101934465870100[[#This Row],[run 1 times]]+Table1221101934465870100[[#This Row],[run2 times]])</calculatedColumnFormula>
    </tableColumn>
    <tableColumn id="17" xr3:uid="{9BAD6BCF-63C5-41D3-A67B-354CA75FB776}" name="TT race points" dataDxfId="134">
      <calculatedColumnFormula>IF(Table1221101934465870100[[#This Row],[total time]]="",999.99,IF(Table1221101934465870100[[#This Row],[total time]]=$AQ$3,0,MAX(0,ROUND(((Table1221101934465870100[[#This Row],[total time]]-$AQ$3)/$AQ$3)*$AO$6,2))))</calculatedColumnFormula>
    </tableColumn>
  </tableColumns>
  <tableStyleInfo name="TableStyleMedium2" showFirstColumn="0" showLastColumn="0" showRowStripes="1" showColumnStripes="0"/>
</table>
</file>

<file path=xl/tables/table10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0" xr:uid="{4CCB4E0E-B59D-46C3-96C1-BE8A014067F3}" name="Table1322112035475971101" displayName="Table1322112035475971101" ref="AO2:AQ3" totalsRowShown="0" dataDxfId="133">
  <autoFilter ref="AO2:AQ3" xr:uid="{1E9C9419-73B1-4B02-B3E7-CFAF1623B428}"/>
  <tableColumns count="3">
    <tableColumn id="1" xr3:uid="{2331A553-D7E2-4F91-8D8B-23287E603AFD}" name="run 1 best time" dataDxfId="132">
      <calculatedColumnFormula>MIN(Table1221101934465870100[run 1 times])</calculatedColumnFormula>
    </tableColumn>
    <tableColumn id="2" xr3:uid="{8EF1ED6B-ED40-4223-A3A5-0E3A23AC9564}" name="run 1 best time2" dataDxfId="131">
      <calculatedColumnFormula>MIN(Table1221101934465870100[run2 times])</calculatedColumnFormula>
    </tableColumn>
    <tableColumn id="3" xr3:uid="{EFFE83DD-DB28-4750-998C-42CA04090011}" name="combined best time" dataDxfId="130">
      <calculatedColumnFormula>MIN(Table1221101934465870100[total time])</calculatedColumnFormula>
    </tableColumn>
  </tableColumns>
  <tableStyleInfo name="TableStyleMedium4" showFirstColumn="0" showLastColumn="0" showRowStripes="1" showColumnStripes="0"/>
</table>
</file>

<file path=xl/tables/table10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1" xr:uid="{498B098E-B93E-4D6C-B804-3F93D90F3336}" name="Table1423122436486072102" displayName="Table1423122436486072102" ref="AO5:AQ6" totalsRowShown="0">
  <autoFilter ref="AO5:AQ6" xr:uid="{8B09D38B-D3CE-4490-A64E-0B065C702DDC}"/>
  <tableColumns count="3">
    <tableColumn id="1" xr3:uid="{81C527FD-60E8-4B0D-A6ED-A300412EEADC}" name="Slalom Factor"/>
    <tableColumn id="2" xr3:uid="{0AED8642-BE60-4AD0-8473-DDA520BECADD}" name="GS Factor"/>
    <tableColumn id="3" xr3:uid="{097849D2-AEFF-4B46-8198-477A1744EF12}" name="SG Factor"/>
  </tableColumns>
  <tableStyleInfo name="TableStyleMedium3" showFirstColumn="0" showLastColumn="0" showRowStripes="1" showColumnStripes="0"/>
</table>
</file>

<file path=xl/tables/table10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8" xr:uid="{44641F87-1262-4689-A68E-7DA70D487911}" name="Table127163137496173109" displayName="Table127163137496173109" ref="A2:Q52" totalsRowShown="0">
  <autoFilter ref="A2:Q52" xr:uid="{91B2D5C3-BD49-4471-9D0D-DD813957B41A}"/>
  <tableColumns count="17">
    <tableColumn id="1" xr3:uid="{64A576BE-80B8-4E56-8D0D-37D965BF8D55}" name="Start Number"/>
    <tableColumn id="2" xr3:uid="{91E04D6D-42B7-4660-BDE6-DA240CFD5EAE}" name="Bib"/>
    <tableColumn id="3" xr3:uid="{36B876CB-F0BE-4871-859F-083E03E8BB04}" name="Club/Quota"/>
    <tableColumn id="4" xr3:uid="{B4D43F1D-7F04-43F7-A5DC-4D9D524F0FA3}" name="Class"/>
    <tableColumn id="5" xr3:uid="{4A3975BB-50D2-4336-906F-332D710B2C49}" name="Full Name"/>
    <tableColumn id="6" xr3:uid="{E59EA128-A8FD-4946-A2B8-4B816D2CA9FB}" name="Year of Birth"/>
    <tableColumn id="7" xr3:uid="{0A75C780-17A0-4255-B2E6-A5F881D78D4C}" name="First Run Result" dataDxfId="129"/>
    <tableColumn id="8" xr3:uid="{A47F782B-0DCB-4388-89F2-8E61956FF3BA}" name="Second Run Result" dataDxfId="128"/>
    <tableColumn id="9" xr3:uid="{5C75064F-727F-4FEF-BA79-44111B47F748}" name="Combined Result" dataDxfId="127"/>
    <tableColumn id="10" xr3:uid="{1D64CB9B-F755-4877-9DF5-A2ADD94CB99F}" name="FIS Number"/>
    <tableColumn id="11" xr3:uid="{4B683AA0-2460-4922-A349-8FC8732A5F6B}" name="NAT Number"/>
    <tableColumn id="12" xr3:uid="{13BC51B7-0476-4A70-88A7-1727693B60A3}" name="run 1 times" dataDxfId="126">
      <calculatedColumnFormula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3" xr3:uid="{0BA9C1DF-86E3-43D5-A5AC-E5CD26FF883A}" name="run 1 points" dataDxfId="125">
      <calculatedColumnFormula>IF(Table127163137496173109[[#This Row],[run 1 times]]="",999.99,IF(Table127163137496173109[[#This Row],[run 1 times]]=$S$3,0,MAX(0,ROUND(((Table127163137496173109[[#This Row],[run 1 times]]-$S$3)/$S$3)*$T$6,2))))</calculatedColumnFormula>
    </tableColumn>
    <tableColumn id="14" xr3:uid="{35407AB3-A4B5-4E08-BA59-44E2C2FA17E1}" name="run2 times" dataDxfId="124">
      <calculatedColumnFormula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5" xr3:uid="{A0EFA5AE-183B-4E63-A255-39C9A7795603}" name="run 2 points" dataDxfId="123">
      <calculatedColumnFormula>IF(Table127163137496173109[[#This Row],[run2 times]]="",999.99,IF(Table127163137496173109[[#This Row],[run2 times]]=$T$3,0,MAX(0,ROUND(((Table127163137496173109[[#This Row],[run2 times]]-$T$3)/$T$3)*$T$6,2))))</calculatedColumnFormula>
    </tableColumn>
    <tableColumn id="16" xr3:uid="{871E2507-CEFB-4D85-9446-C32EA1C7B036}" name="total time" dataDxfId="122">
      <calculatedColumnFormula>IF(OR(Table127163137496173109[[#This Row],[run 1 times]]="",Table127163137496173109[[#This Row],[run2 times]]=""),"",Table127163137496173109[[#This Row],[run 1 times]]+Table127163137496173109[[#This Row],[run2 times]])</calculatedColumnFormula>
    </tableColumn>
    <tableColumn id="17" xr3:uid="{731FF2AF-A1B1-4149-9632-AF277F76430B}" name="TT race points" dataDxfId="121">
      <calculatedColumnFormula>IF(Table127163137496173109[[#This Row],[total time]]="",999.99,IF(Table127163137496173109[[#This Row],[total time]]=$U$3,0,MAX(0,ROUND(((Table127163137496173109[[#This Row],[total time]]-$U$3)/$U$3)*$T$6,2))))</calculatedColumnFormula>
    </tableColumn>
  </tableColumns>
  <tableStyleInfo name="TableStyleMedium2" showFirstColumn="0" showLastColumn="0" showRowStripes="1" showColumnStripes="0"/>
</table>
</file>

<file path=xl/tables/table10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9" xr:uid="{1DFB00E5-E246-4672-ACC3-310B5D6CEA1D}" name="Table138173238506274110" displayName="Table138173238506274110" ref="S2:U3" totalsRowShown="0" dataDxfId="120">
  <autoFilter ref="S2:U3" xr:uid="{1E967C82-9863-4FB8-B686-759949E1096A}"/>
  <tableColumns count="3">
    <tableColumn id="1" xr3:uid="{ABD13C25-9594-491A-880D-1737A66B9A86}" name="run 1 best time" dataDxfId="119">
      <calculatedColumnFormula>MIN(Table127163137496173109[run 1 times])</calculatedColumnFormula>
    </tableColumn>
    <tableColumn id="2" xr3:uid="{77DE7777-11B8-499B-BFF8-F9CA1FECA806}" name="run 1 best time2" dataDxfId="118">
      <calculatedColumnFormula>MIN(Table127163137496173109[run2 times])</calculatedColumnFormula>
    </tableColumn>
    <tableColumn id="3" xr3:uid="{B1235442-7A4F-441D-AE1F-6B955F79C8A4}" name="combined best time" dataDxfId="117">
      <calculatedColumnFormula>MIN(Table127163137496173109[total time])</calculatedColumnFormula>
    </tableColumn>
  </tableColumns>
  <tableStyleInfo name="TableStyleMedium4" showFirstColumn="0" showLastColumn="0" showRowStripes="1" showColumnStripes="0"/>
</table>
</file>

<file path=xl/tables/table10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0" xr:uid="{21FE1477-878B-4DE7-81B5-63F8E0DC7D51}" name="Table149183339516375111" displayName="Table149183339516375111" ref="S5:U6" totalsRowShown="0">
  <autoFilter ref="S5:U6" xr:uid="{8A7932AC-08B3-45BE-A62F-71E99F9C6FCB}"/>
  <tableColumns count="3">
    <tableColumn id="1" xr3:uid="{F20E8E1D-1FB1-446C-A72A-F74BC03B6BD4}" name="Slalom Factor"/>
    <tableColumn id="2" xr3:uid="{E67666EE-44A0-449F-A1B9-BC75C954F5AA}" name="GS Factor"/>
    <tableColumn id="3" xr3:uid="{7038AAF1-FFB9-415C-8D93-3F7E749008A0}" name="SG Factor"/>
  </tableColumns>
  <tableStyleInfo name="TableStyleMedium3" showFirstColumn="0" showLastColumn="0" showRowStripes="1" showColumnStripes="0"/>
</table>
</file>

<file path=xl/tables/table10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1" xr:uid="{B2916D6D-CD2F-4CA3-B4BD-17F28FB59084}" name="Table122110193440526476112" displayName="Table122110193440526476112" ref="W2:AM42" totalsRowShown="0">
  <autoFilter ref="W2:AM42" xr:uid="{5C573A4F-9860-45EF-8B7A-2953F0241575}"/>
  <sortState xmlns:xlrd2="http://schemas.microsoft.com/office/spreadsheetml/2017/richdata2" ref="W3:AM5">
    <sortCondition ref="AH2:AH5"/>
  </sortState>
  <tableColumns count="17">
    <tableColumn id="1" xr3:uid="{E6304345-031E-4917-B324-D40EB0E212DB}" name="Start Number"/>
    <tableColumn id="2" xr3:uid="{AA107780-D924-4E2E-8D40-2C394B8A9337}" name="Bib"/>
    <tableColumn id="3" xr3:uid="{F230665D-7CFF-4B6C-AE75-A5EE408B1658}" name="Club/Quota"/>
    <tableColumn id="4" xr3:uid="{ADA2AB81-791C-4390-94E3-B912B9A0DC96}" name="Class"/>
    <tableColumn id="5" xr3:uid="{D75B628E-E52B-40B2-BB4E-84D427EBA3D9}" name="Full Name"/>
    <tableColumn id="6" xr3:uid="{8C9DD009-6A2B-4C95-B793-A8D7002F5541}" name="Year of Birth"/>
    <tableColumn id="7" xr3:uid="{6625E6B0-EA9A-493C-8523-280CECDBE3E0}" name="First Run Result" dataDxfId="116"/>
    <tableColumn id="8" xr3:uid="{762951C3-06EE-4DDD-AE34-34F86A63AB8D}" name="Second Run Result" dataDxfId="115"/>
    <tableColumn id="9" xr3:uid="{CE71FD5A-7A68-4507-A5C7-B9C17FF331F3}" name="Combined Result" dataDxfId="114"/>
    <tableColumn id="10" xr3:uid="{97B5E80E-4198-4F49-91C8-16B60264FC66}" name="FIS Number"/>
    <tableColumn id="11" xr3:uid="{76241683-E833-4AB3-B584-007F3CBE655E}" name="NAT Number"/>
    <tableColumn id="12" xr3:uid="{0656C33A-B33E-40CE-A1EC-73A2328B1458}" name="run 1 times" dataDxfId="113">
      <calculatedColumnFormula>_xlfn.LET(_xlpm.x,Table122110193440526476112[[#This Row],[First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3" xr3:uid="{F227953A-2098-469A-83BD-1E1F13E53E7F}" name="run 1 points" dataDxfId="112">
      <calculatedColumnFormula>IF(Table122110193440526476112[[#This Row],[run 1 times]]="",999.99,IF(Table122110193440526476112[[#This Row],[run 1 times]]=$AO$3,0,MAX(0,ROUND(((Table122110193440526476112[[#This Row],[run 1 times]]-$AO$3)/$AO$3)*$AP$6,2))))</calculatedColumnFormula>
    </tableColumn>
    <tableColumn id="14" xr3:uid="{9315710F-6636-4387-88F3-0DE365633AF3}" name="run2 times" dataDxfId="111">
      <calculatedColumnFormula>_xlfn.LET(_xlpm.x,Table122110193440526476112[[#This Row],[Second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5" xr3:uid="{6142140C-F361-464B-90BC-FB44D3168E45}" name="run 2 points" dataDxfId="110">
      <calculatedColumnFormula>IF(Table122110193440526476112[[#This Row],[run2 times]]="",999.99,IF(Table122110193440526476112[[#This Row],[run2 times]]=$AP$3,0,MAX(0,ROUND(((Table122110193440526476112[[#This Row],[run2 times]]-$AP$3)/$AP$3)*$AP$6,2))))</calculatedColumnFormula>
    </tableColumn>
    <tableColumn id="16" xr3:uid="{DB553F61-192E-4B4E-A126-551861B40316}" name="total time" dataDxfId="109">
      <calculatedColumnFormula>IF(OR(Table122110193440526476112[[#This Row],[run 1 times]]="",Table122110193440526476112[[#This Row],[run2 times]]=""),"",Table122110193440526476112[[#This Row],[run 1 times]]+Table122110193440526476112[[#This Row],[run2 times]])</calculatedColumnFormula>
    </tableColumn>
    <tableColumn id="17" xr3:uid="{3D61D73E-4E9A-40C0-BFE1-A1F47A9D7E6D}" name="TT race points" dataDxfId="108">
      <calculatedColumnFormula>IF(Table122110193440526476112[[#This Row],[total time]]="",999.99,IF(Table122110193440526476112[[#This Row],[total time]]=$AQ$3,0,MAX(0,ROUND(((Table122110193440526476112[[#This Row],[total time]]-$AQ$3)/$AQ$3)*$AP$6,2))))</calculatedColumnFormula>
    </tableColumn>
  </tableColumns>
  <tableStyleInfo name="TableStyleMedium2" showFirstColumn="0" showLastColumn="0" showRowStripes="1" showColumnStripes="0"/>
</table>
</file>

<file path=xl/tables/table10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2" xr:uid="{38B1B27B-A5CB-4B76-82BD-A3CB3140721F}" name="Table132211203541536577113" displayName="Table132211203541536577113" ref="AO2:AQ3" totalsRowShown="0" dataDxfId="107">
  <autoFilter ref="AO2:AQ3" xr:uid="{1E9C9419-73B1-4B02-B3E7-CFAF1623B428}"/>
  <tableColumns count="3">
    <tableColumn id="1" xr3:uid="{016E0915-8EFB-48A8-BA8C-BA8D7B0C18EA}" name="run 1 best time" dataDxfId="106">
      <calculatedColumnFormula>MIN(Table122110193440526476112[run 1 times])</calculatedColumnFormula>
    </tableColumn>
    <tableColumn id="2" xr3:uid="{E36975F6-A6EC-48B9-95AC-98AC9D26843A}" name="run 1 best time2" dataDxfId="105">
      <calculatedColumnFormula>MIN(Table122110193440526476112[run2 times])</calculatedColumnFormula>
    </tableColumn>
    <tableColumn id="3" xr3:uid="{B8F59CC8-D3DC-418D-B82B-75691D7A50D3}" name="combined best time" dataDxfId="104">
      <calculatedColumnFormula>MIN(Table122110193440526476112[total time])</calculatedColumnFormula>
    </tableColumn>
  </tableColumns>
  <tableStyleInfo name="TableStyleMedium4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4" xr:uid="{0D061237-3D4C-4735-817D-86166D409048}" name="Table123160185" displayName="Table123160185" ref="L2:U22" totalsRowShown="0">
  <autoFilter ref="L2:U22" xr:uid="{7EB29342-CFCE-47CD-B3C4-FA634C2F4C22}"/>
  <tableColumns count="10">
    <tableColumn id="1" xr3:uid="{7C5F79A3-9C9B-4ABF-8BF2-7B5CDC19369E}" name="ACA Number"/>
    <tableColumn id="2" xr3:uid="{FB0EBC12-D8EF-4009-A999-FDA7CD59E32C}" name="name "/>
    <tableColumn id="3" xr3:uid="{AA2CC2A5-8C1F-4982-B680-B922E4D6DEBF}" name="Category"/>
    <tableColumn id="4" xr3:uid="{168F7364-5E1B-4250-9E9F-867AB3FBBE16}" name="CM GS1 R1" dataDxfId="592">
      <calculatedColumnFormula>_xlfn.XLOOKUP(Table123160185[[#This Row],[ACA Number]],Table127163137496173[NAT Number],Table127163137496173[run 1 points])</calculatedColumnFormula>
    </tableColumn>
    <tableColumn id="5" xr3:uid="{40936AF2-CB9D-4071-B05C-E2B10EE8A2EB}" name="CM GS1 R2" dataDxfId="591">
      <calculatedColumnFormula>_xlfn.XLOOKUP(Table123160185[[#This Row],[ACA Number]],Table127163137496173[NAT Number],Table127163137496173[run 2 points])</calculatedColumnFormula>
    </tableColumn>
    <tableColumn id="6" xr3:uid="{55C00A00-2FBC-4C9E-ADFE-8D52945A1889}" name="CM GS2 R1" dataDxfId="590">
      <calculatedColumnFormula>_xlfn.XLOOKUP(Table123160185[[#This Row],[ACA Number]],Table127163137496173109[NAT Number],Table127163137496173109[run 1 points])</calculatedColumnFormula>
    </tableColumn>
    <tableColumn id="7" xr3:uid="{1B0175CB-B6E7-4DBB-B167-047D2703D023}" name="CM GS2 R2" dataDxfId="589">
      <calculatedColumnFormula>_xlfn.XLOOKUP(Table123160185[[#This Row],[ACA Number]],Table127163137496173109[NAT Number],Table127163137496173109[run 2 points])</calculatedColumnFormula>
    </tableColumn>
    <tableColumn id="8" xr3:uid="{113A4BCC-43DA-4E82-9FDD-349C0529046F}" name="MF GS R1" dataDxfId="588">
      <calculatedColumnFormula>_xlfn.XLOOKUP(Table123160185[[#This Row],[ACA Number]],Table127163137496173109115[NAT Number],Table127163137496173109115[run 1 points])</calculatedColumnFormula>
    </tableColumn>
    <tableColumn id="9" xr3:uid="{809B65F7-A1A4-4E37-BB3D-E6834F68679B}" name="MF GS R2" dataDxfId="587">
      <calculatedColumnFormula>_xlfn.XLOOKUP(Table123160185[[#This Row],[ACA Number]],Table127163137496173109115[NAT Number],Table127163137496173109115[run 2 points])</calculatedColumnFormula>
    </tableColumn>
    <tableColumn id="10" xr3:uid="{BF73D479-F941-4838-92D4-7B89C810201A}" name="Best 1 Run" dataDxfId="586">
      <calculatedColumnFormula array="1">_xlfn.LET(_xlpm.r,Table123160185[[#This Row],[CM GS1 R1]:[MF GS R2]],_xlpm.m,_xlfn.AGGREGATE(15,6,_xlpm.r/(_xlpm.r&lt;&gt;999.99),1),IFERROR(_xlpm.m,999.99))</calculatedColumnFormula>
    </tableColumn>
  </tableColumns>
  <tableStyleInfo name="TableStyleMedium4" showFirstColumn="0" showLastColumn="0" showRowStripes="1" showColumnStripes="0"/>
</table>
</file>

<file path=xl/tables/table1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3" xr:uid="{729F9D55-F5E1-46F5-93AF-711530E3C8AA}" name="Table142312243642546678114" displayName="Table142312243642546678114" ref="AO5:AQ6" totalsRowShown="0">
  <autoFilter ref="AO5:AQ6" xr:uid="{8B09D38B-D3CE-4490-A64E-0B065C702DDC}"/>
  <tableColumns count="3">
    <tableColumn id="1" xr3:uid="{1FC02194-D749-4ADB-A7EA-63DAE4A9BC24}" name="Slalom Factor"/>
    <tableColumn id="2" xr3:uid="{83A0BD04-6D02-4A96-BC14-4E320C7D3A14}" name="GS Factor"/>
    <tableColumn id="3" xr3:uid="{14E07BD9-3499-4C67-BC05-9FFE50BAEE59}" name="SG Factor"/>
  </tableColumns>
  <tableStyleInfo name="TableStyleMedium3" showFirstColumn="0" showLastColumn="0" showRowStripes="1" showColumnStripes="0"/>
</table>
</file>

<file path=xl/tables/table1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6" xr:uid="{AD6D1F17-1AF8-4D68-B6DE-AFA147962C1F}" name="Table1271631435567" displayName="Table1271631435567" ref="A2:Q36" totalsRowShown="0">
  <autoFilter ref="A2:Q36" xr:uid="{91B2D5C3-BD49-4471-9D0D-DD813957B41A}"/>
  <tableColumns count="17">
    <tableColumn id="1" xr3:uid="{7EE3FE17-402E-4A58-88F0-BFC6F9DDDF77}" name="Start Number"/>
    <tableColumn id="2" xr3:uid="{FCDE6DB7-AC73-4CC9-B694-F0CA524BE2D3}" name="Bib"/>
    <tableColumn id="3" xr3:uid="{D8872231-BF47-4486-96A4-FDF94F2C468C}" name="Club/Quota"/>
    <tableColumn id="4" xr3:uid="{D69D073E-8F7C-4D88-A33D-03AD8BEE7AD1}" name="Class"/>
    <tableColumn id="5" xr3:uid="{9A63089A-1CE8-4609-B246-B46E3A5A18B9}" name="Full Name"/>
    <tableColumn id="6" xr3:uid="{B384E8B3-1561-4EDF-A21E-142885F6C1E4}" name="Year of Birth"/>
    <tableColumn id="7" xr3:uid="{3FACFBFD-929B-4142-A915-79362BDE0C54}" name="First Run Result" dataDxfId="103"/>
    <tableColumn id="8" xr3:uid="{C1F4EE40-96B8-40D8-9353-8686CC88152C}" name="Second Run Result" dataDxfId="102"/>
    <tableColumn id="9" xr3:uid="{B837154D-30B6-4E31-9863-A125D08ED68A}" name="Combined Result" dataDxfId="101"/>
    <tableColumn id="10" xr3:uid="{E1ABB510-90B8-4A0E-99F3-20EF2E28E421}" name="FIS Number"/>
    <tableColumn id="11" xr3:uid="{8711A1FB-8755-4C68-B20F-32FFF7DCB69E}" name="NAT Number"/>
    <tableColumn id="12" xr3:uid="{0C08D3AF-8FAC-49B2-A55C-458F8B29E4BB}" name="run 1 times" dataDxfId="100">
      <calculatedColumnFormula>_xlfn.LET(_xlpm.x,Table1271631435567[[#This Row],[First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3" xr3:uid="{AE8CFC50-45EA-4C1E-A518-AC69069267A9}" name="run 1 points" dataDxfId="99">
      <calculatedColumnFormula>IF(Table1271631435567[[#This Row],[run 1 times]]="",999.99,IF(Table1271631435567[[#This Row],[run 1 times]]=$S$3,0,MAX(0,ROUND(((Table1271631435567[[#This Row],[run 1 times]]-$S$3)/$S$3)*$T$6,2))))</calculatedColumnFormula>
    </tableColumn>
    <tableColumn id="14" xr3:uid="{9CE82D79-AB28-42A8-A299-3D470BA74686}" name="run2 times" dataDxfId="98">
      <calculatedColumnFormula>_xlfn.LET(_xlpm.x,Table1271631435567[[#This Row],[Second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5" xr3:uid="{0E335840-08D1-47FF-8FFF-D6770F76E5EF}" name="run 2 points" dataDxfId="97">
      <calculatedColumnFormula>IF(Table1271631435567[[#This Row],[run2 times]]="",999.99,IF(Table1271631435567[[#This Row],[run2 times]]=$T$3,0,MAX(0,ROUND(((Table1271631435567[[#This Row],[run2 times]]-$T$3)/$T$3)*$T$6,2))))</calculatedColumnFormula>
    </tableColumn>
    <tableColumn id="16" xr3:uid="{379495ED-C947-4F16-AA53-2E91D1984C3E}" name="total time" dataDxfId="96">
      <calculatedColumnFormula>IF(OR(Table1271631435567[[#This Row],[run 1 times]]="",Table1271631435567[[#This Row],[run2 times]]=""),"",Table1271631435567[[#This Row],[run 1 times]]+Table1271631435567[[#This Row],[run2 times]])</calculatedColumnFormula>
    </tableColumn>
    <tableColumn id="17" xr3:uid="{5E864C62-5FAE-408C-9C07-A0F4974CD296}" name="TT race points" dataDxfId="95">
      <calculatedColumnFormula>IF(Table1271631435567[[#This Row],[total time]]="",999.99,IF(Table1271631435567[[#This Row],[total time]]=$U$3,0,MAX(0,ROUND(((Table1271631435567[[#This Row],[total time]]-$U$3)/$U$3)*$T$6,2))))</calculatedColumnFormula>
    </tableColumn>
  </tableColumns>
  <tableStyleInfo name="TableStyleMedium2" showFirstColumn="0" showLastColumn="0" showRowStripes="1" showColumnStripes="0"/>
</table>
</file>

<file path=xl/tables/table1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7" xr:uid="{B9223E02-3D54-4350-873C-DFBF18DA1A5E}" name="Table1381732445668" displayName="Table1381732445668" ref="S2:U3" totalsRowShown="0" dataDxfId="94">
  <autoFilter ref="S2:U3" xr:uid="{1E967C82-9863-4FB8-B686-759949E1096A}"/>
  <tableColumns count="3">
    <tableColumn id="1" xr3:uid="{8E1E0057-5A46-43FE-8086-0CFABD55BE55}" name="run 1 best time" dataDxfId="93">
      <calculatedColumnFormula>MIN(Table1271631435567[run 1 times])</calculatedColumnFormula>
    </tableColumn>
    <tableColumn id="2" xr3:uid="{083D1B82-0E46-48A0-ACC1-035E6F9F1024}" name="run 1 best time2" dataDxfId="92">
      <calculatedColumnFormula>MIN(Table1271631435567[run2 times])</calculatedColumnFormula>
    </tableColumn>
    <tableColumn id="3" xr3:uid="{FC5ACB41-C4BC-438B-ACBA-6CB11695CB8D}" name="combined best time" dataDxfId="91">
      <calculatedColumnFormula>MIN(Table1271631435567[total time])</calculatedColumnFormula>
    </tableColumn>
  </tableColumns>
  <tableStyleInfo name="TableStyleMedium4" showFirstColumn="0" showLastColumn="0" showRowStripes="1" showColumnStripes="0"/>
</table>
</file>

<file path=xl/tables/table1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8" xr:uid="{A2874A7A-1D4B-4EA4-994C-C07AE2E74299}" name="Table1491833455769" displayName="Table1491833455769" ref="S5:U6" totalsRowShown="0">
  <autoFilter ref="S5:U6" xr:uid="{8A7932AC-08B3-45BE-A62F-71E99F9C6FCB}"/>
  <tableColumns count="3">
    <tableColumn id="1" xr3:uid="{9439C8D8-A037-4A89-82F5-4460AD808721}" name="Slalom Factor"/>
    <tableColumn id="2" xr3:uid="{B899FFD7-5411-4B3D-99E4-A60F52A40C5F}" name="GS Factor"/>
    <tableColumn id="3" xr3:uid="{D34F8608-CD93-4573-8B6C-2B17A411CC1E}" name="SG Factor"/>
  </tableColumns>
  <tableStyleInfo name="TableStyleMedium3" showFirstColumn="0" showLastColumn="0" showRowStripes="1" showColumnStripes="0"/>
</table>
</file>

<file path=xl/tables/table1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9" xr:uid="{F2D7E80E-4519-4CCE-8779-23118B7BC4A8}" name="Table1221101934465870" displayName="Table1221101934465870" ref="W2:AM22" totalsRowShown="0">
  <autoFilter ref="W2:AM22" xr:uid="{5C573A4F-9860-45EF-8B7A-2953F0241575}"/>
  <sortState xmlns:xlrd2="http://schemas.microsoft.com/office/spreadsheetml/2017/richdata2" ref="W3:AM6">
    <sortCondition ref="AH2:AH6"/>
  </sortState>
  <tableColumns count="17">
    <tableColumn id="1" xr3:uid="{348B2E6E-A65A-4925-B851-3951260841E2}" name="Start Number"/>
    <tableColumn id="2" xr3:uid="{8660D14D-2FE9-4D25-9197-E335817A68E1}" name="Bib"/>
    <tableColumn id="3" xr3:uid="{A60D9326-B1D8-4BEF-A406-9245612D4F2A}" name="Club/Quota"/>
    <tableColumn id="4" xr3:uid="{3C4344DC-D2AF-4EBA-AF10-1FC7D360E182}" name="Class"/>
    <tableColumn id="5" xr3:uid="{CB98911F-934C-46B3-98B3-D00353EF364B}" name="Full Name"/>
    <tableColumn id="6" xr3:uid="{FA95920D-5328-456E-98F1-9667628A2811}" name="Year of Birth"/>
    <tableColumn id="7" xr3:uid="{A4FE85E5-352D-4286-A679-E6BA3C9F2488}" name="First Run Result" dataDxfId="90"/>
    <tableColumn id="8" xr3:uid="{2980BEE0-5B92-4745-915B-14FBBECB7769}" name="Second Run Result" dataDxfId="89"/>
    <tableColumn id="9" xr3:uid="{FCCC61AD-7058-4BBE-8D85-ABCC0CC10B4C}" name="Combined Result" dataDxfId="88"/>
    <tableColumn id="10" xr3:uid="{6953659F-007D-4BF4-811D-94D24C1CC68D}" name="FIS Number"/>
    <tableColumn id="11" xr3:uid="{3C87D0FD-03F8-46A6-96AA-1A89607AB860}" name="NAT Number"/>
    <tableColumn id="12" xr3:uid="{5DF9DEB1-7279-433C-8460-7328CA5E5E60}" name="run 1 times" dataDxfId="87">
      <calculatedColumnFormula>_xlfn.LET(_xlpm.x,Table1221101934465870[[#This Row],[First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3" xr3:uid="{5A109350-F973-4D51-9FE5-738BE04306E2}" name="run 1 points" dataDxfId="86">
      <calculatedColumnFormula>IF(Table1221101934465870[[#This Row],[run 1 times]]="",999.99,IF(Table1221101934465870[[#This Row],[run 1 times]]=$AO$3,0,MAX(0,ROUND(((Table1221101934465870[[#This Row],[run 1 times]]-$AO$3)/$AO$3)*$AO$6,2))))</calculatedColumnFormula>
    </tableColumn>
    <tableColumn id="14" xr3:uid="{459FBCCE-7375-41A9-916A-4E575DF6010A}" name="run2 times" dataDxfId="85">
      <calculatedColumnFormula>_xlfn.LET(_xlpm.x,Table1221101934465870[[#This Row],[Second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5" xr3:uid="{1311AE5F-CCDD-4A6A-9435-A739275D1CA6}" name="run 2 points" dataDxfId="84">
      <calculatedColumnFormula>IF(Table1221101934465870[[#This Row],[run2 times]]="",999.99,IF(Table1221101934465870[[#This Row],[run2 times]]=$AP$3,0,MAX(0,ROUND(((Table1221101934465870[[#This Row],[run2 times]]-$AP$3)/$AP$3)*$AO$6,2))))</calculatedColumnFormula>
    </tableColumn>
    <tableColumn id="16" xr3:uid="{9219B009-3F7B-4772-9FA9-B90E03F1758A}" name="total time" dataDxfId="83">
      <calculatedColumnFormula>IF(OR(Table1221101934465870[[#This Row],[run 1 times]]="",Table1221101934465870[[#This Row],[run2 times]]=""),"",Table1221101934465870[[#This Row],[run 1 times]]+Table1221101934465870[[#This Row],[run2 times]])</calculatedColumnFormula>
    </tableColumn>
    <tableColumn id="17" xr3:uid="{5A3BE1C2-C72C-4709-892C-E299BCE0187C}" name="TT race points" dataDxfId="82">
      <calculatedColumnFormula>IF(Table1221101934465870[[#This Row],[total time]]="",999.99,IF(Table1221101934465870[[#This Row],[total time]]=$AQ$3,0,MAX(0,ROUND(((Table1221101934465870[[#This Row],[total time]]-$AQ$3)/$AQ$3)*$AO$6,2))))</calculatedColumnFormula>
    </tableColumn>
  </tableColumns>
  <tableStyleInfo name="TableStyleMedium2" showFirstColumn="0" showLastColumn="0" showRowStripes="1" showColumnStripes="0"/>
</table>
</file>

<file path=xl/tables/table1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0" xr:uid="{CD70007D-E8BF-4D0C-8388-CA470AC5D0BF}" name="Table1322112035475971" displayName="Table1322112035475971" ref="AO2:AQ3" totalsRowShown="0" dataDxfId="81">
  <autoFilter ref="AO2:AQ3" xr:uid="{1E9C9419-73B1-4B02-B3E7-CFAF1623B428}"/>
  <tableColumns count="3">
    <tableColumn id="1" xr3:uid="{8EBC46FF-8472-4CB6-AE8A-B204A45BC67D}" name="run 1 best time" dataDxfId="80">
      <calculatedColumnFormula>MIN(Table1221101934465870[run 1 times])</calculatedColumnFormula>
    </tableColumn>
    <tableColumn id="2" xr3:uid="{36574DF6-AAE0-4720-A2F9-D441894E47A4}" name="run 1 best time2" dataDxfId="79">
      <calculatedColumnFormula>MIN(Table1221101934465870[run2 times])</calculatedColumnFormula>
    </tableColumn>
    <tableColumn id="3" xr3:uid="{FFDAA906-83C2-49F6-917F-34D715300065}" name="combined best time" dataDxfId="78">
      <calculatedColumnFormula>MIN(Table1221101934465870[total time])</calculatedColumnFormula>
    </tableColumn>
  </tableColumns>
  <tableStyleInfo name="TableStyleMedium4" showFirstColumn="0" showLastColumn="0" showRowStripes="1" showColumnStripes="0"/>
</table>
</file>

<file path=xl/tables/table1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1" xr:uid="{E10BA758-FD94-4CE7-9720-1413009C9FB5}" name="Table1423122436486072" displayName="Table1423122436486072" ref="AO5:AQ6" totalsRowShown="0">
  <autoFilter ref="AO5:AQ6" xr:uid="{8B09D38B-D3CE-4490-A64E-0B065C702DDC}"/>
  <tableColumns count="3">
    <tableColumn id="1" xr3:uid="{00263F2A-14CA-412C-87AF-0DEB5C409F0E}" name="Slalom Factor"/>
    <tableColumn id="2" xr3:uid="{E0673B75-4CED-4497-826F-131F9C15347B}" name="GS Factor"/>
    <tableColumn id="3" xr3:uid="{70B562B5-190D-40CC-A286-F70310FC8523}" name="SG Factor"/>
  </tableColumns>
  <tableStyleInfo name="TableStyleMedium3" showFirstColumn="0" showLastColumn="0" showRowStripes="1" showColumnStripes="0"/>
</table>
</file>

<file path=xl/tables/table1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4" xr:uid="{9BD888A7-4AE2-4499-B059-070FB989EA7A}" name="Table127163137496173109115" displayName="Table127163137496173109115" ref="A2:Q23" totalsRowShown="0">
  <autoFilter ref="A2:Q23" xr:uid="{91B2D5C3-BD49-4471-9D0D-DD813957B41A}"/>
  <tableColumns count="17">
    <tableColumn id="1" xr3:uid="{D2045A09-8DD3-4DAF-B563-21DF262B328F}" name="Start Number"/>
    <tableColumn id="2" xr3:uid="{D58D6E03-6AC4-4AD9-9E58-F3DCD03EED7A}" name="Bib"/>
    <tableColumn id="3" xr3:uid="{2E79DCD6-B43C-4037-B2CE-BCD457BF0075}" name="Club/Quota"/>
    <tableColumn id="4" xr3:uid="{F78F61BA-7414-4112-B200-FA8431EED425}" name="Class"/>
    <tableColumn id="5" xr3:uid="{52B80B07-540A-4880-A90A-FBBEAD3A91D4}" name="Full Name"/>
    <tableColumn id="6" xr3:uid="{D33FF0BC-957E-4F53-BC05-ABA7A732238E}" name="Year of Birth"/>
    <tableColumn id="7" xr3:uid="{BE85C23A-6542-40C3-ABCC-A345BABA8EA5}" name="First Run Result" dataDxfId="77"/>
    <tableColumn id="8" xr3:uid="{B5D60F2A-B4F0-49A9-9F58-FAD706AF3A22}" name="Second Run Result" dataDxfId="76"/>
    <tableColumn id="9" xr3:uid="{0053CDA7-06C1-4585-A8B4-1F8506B59FEE}" name="Combined Result" dataDxfId="75"/>
    <tableColumn id="10" xr3:uid="{56DE9C1D-1802-427A-A23F-A61504261828}" name="FIS Number"/>
    <tableColumn id="11" xr3:uid="{30C85FDE-23D4-45D2-BDE2-2E3D1832E6C8}" name="NAT Number"/>
    <tableColumn id="12" xr3:uid="{D34D135E-6844-4124-ADC0-EBEE4B394689}" name="run 1 times" dataDxfId="74">
      <calculatedColumnFormula>_xlfn.LET(_xlpm.x,Table127163137496173109115[[#This Row],[First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3" xr3:uid="{0EF45F53-7A6E-457D-9B6D-A30C1C48102E}" name="run 1 points" dataDxfId="73">
      <calculatedColumnFormula>IF(Table127163137496173109115[[#This Row],[run 1 times]]="",999.99,IF(Table127163137496173109115[[#This Row],[run 1 times]]=$S$3,0,MAX(0,ROUND(((Table127163137496173109115[[#This Row],[run 1 times]]-$S$3)/$S$3)*$T$6,2))))</calculatedColumnFormula>
    </tableColumn>
    <tableColumn id="14" xr3:uid="{E4D6DAC1-7A1C-4868-B6B9-369F7065D50A}" name="run2 times" dataDxfId="72">
      <calculatedColumnFormula>_xlfn.LET(_xlpm.x,Table127163137496173109115[[#This Row],[Second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5" xr3:uid="{3A69DD6D-43FD-4FA9-A4CE-BB6D0C0D60DA}" name="run 2 points" dataDxfId="71">
      <calculatedColumnFormula>IF(Table127163137496173109115[[#This Row],[run2 times]]="",999.99,IF(Table127163137496173109115[[#This Row],[run2 times]]=$T$3,0,MAX(0,ROUND(((Table127163137496173109115[[#This Row],[run2 times]]-$T$3)/$T$3)*$T$6,2))))</calculatedColumnFormula>
    </tableColumn>
    <tableColumn id="16" xr3:uid="{A3A7BEB4-C076-4564-85FE-5815049090FB}" name="total time" dataDxfId="70">
      <calculatedColumnFormula>IF(OR(Table127163137496173109115[[#This Row],[run 1 times]]="",Table127163137496173109115[[#This Row],[run2 times]]=""),"",Table127163137496173109115[[#This Row],[run 1 times]]+Table127163137496173109115[[#This Row],[run2 times]])</calculatedColumnFormula>
    </tableColumn>
    <tableColumn id="17" xr3:uid="{EAA9BC02-6396-4DEB-9895-EFDD3BC294E6}" name="TT race points" dataDxfId="69">
      <calculatedColumnFormula>IF(Table127163137496173109115[[#This Row],[total time]]="",999.99,IF(Table127163137496173109115[[#This Row],[total time]]=$U$3,0,MAX(0,ROUND(((Table127163137496173109115[[#This Row],[total time]]-$U$3)/$U$3)*$T$6,2))))</calculatedColumnFormula>
    </tableColumn>
  </tableColumns>
  <tableStyleInfo name="TableStyleMedium2" showFirstColumn="0" showLastColumn="0" showRowStripes="1" showColumnStripes="0"/>
</table>
</file>

<file path=xl/tables/table1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5" xr:uid="{7EDBD584-AB47-4F03-A6CB-FAAE56ED6986}" name="Table138173238506274110116" displayName="Table138173238506274110116" ref="S2:U3" totalsRowShown="0" dataDxfId="68">
  <autoFilter ref="S2:U3" xr:uid="{1E967C82-9863-4FB8-B686-759949E1096A}"/>
  <tableColumns count="3">
    <tableColumn id="1" xr3:uid="{BF525CB0-8AA2-47DB-913A-43283D15EBE0}" name="run 1 best time" dataDxfId="67">
      <calculatedColumnFormula>MIN(Table127163137496173109115[run 1 times])</calculatedColumnFormula>
    </tableColumn>
    <tableColumn id="2" xr3:uid="{82847D27-5264-4897-A967-6D5C37C79536}" name="run 1 best time2" dataDxfId="66">
      <calculatedColumnFormula>MIN(Table127163137496173109115[run2 times])</calculatedColumnFormula>
    </tableColumn>
    <tableColumn id="3" xr3:uid="{31DEDB8C-9026-4FAA-80C5-561A7E68B96A}" name="combined best time" dataDxfId="65">
      <calculatedColumnFormula>MIN(Table127163137496173109115[total time])</calculatedColumnFormula>
    </tableColumn>
  </tableColumns>
  <tableStyleInfo name="TableStyleMedium4" showFirstColumn="0" showLastColumn="0" showRowStripes="1" showColumnStripes="0"/>
</table>
</file>

<file path=xl/tables/table1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6" xr:uid="{B5498F43-995E-43B4-BD87-1351E0B83BA4}" name="Table149183339516375111117" displayName="Table149183339516375111117" ref="S5:U6" totalsRowShown="0">
  <autoFilter ref="S5:U6" xr:uid="{8A7932AC-08B3-45BE-A62F-71E99F9C6FCB}"/>
  <tableColumns count="3">
    <tableColumn id="1" xr3:uid="{75A97F63-AA6B-479E-9C0F-2031C3CE66F6}" name="Slalom Factor"/>
    <tableColumn id="2" xr3:uid="{259CF931-8495-4AFE-9381-1FA26F43F1AC}" name="GS Factor"/>
    <tableColumn id="3" xr3:uid="{CF3675C6-BC62-4004-81C6-DC72DAC2EA0C}" name="SG Factor"/>
  </tableColumns>
  <tableStyleInfo name="TableStyleMedium3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5" xr:uid="{4BC68ECC-51C5-4405-ADBD-73745ED0D1FC}" name="Table124161186" displayName="Table124161186" ref="W2:AD22" totalsRowShown="0">
  <autoFilter ref="W2:AD22" xr:uid="{D3734791-4308-4B60-9978-E73DE653AC01}"/>
  <tableColumns count="8">
    <tableColumn id="1" xr3:uid="{A36B9D9D-5A96-4CB1-A48E-662789441285}" name="ACA Number"/>
    <tableColumn id="2" xr3:uid="{7720B4EB-9F45-4FCE-8551-02786E2ABC4A}" name="name "/>
    <tableColumn id="3" xr3:uid="{E7DAB877-0F6D-4778-857C-7279A81FFE7B}" name="Category"/>
    <tableColumn id="4" xr3:uid="{4FF31132-359E-42EA-B66B-F75BB17683BD}" name="PM SL1" dataDxfId="585">
      <calculatedColumnFormula>_xlfn.XLOOKUP(Table124161186[[#This Row],[ACA Number]],Table127[NAT Number],Table127[TT race points])</calculatedColumnFormula>
    </tableColumn>
    <tableColumn id="5" xr3:uid="{730A8F6E-43D1-4F28-B613-385FC348C53E}" name="PM SL2" dataDxfId="584">
      <calculatedColumnFormula>_xlfn.XLOOKUP(Table124161186[[#This Row],[ACA Number]],Table12716[NAT Number],Table12716[TT race points])</calculatedColumnFormula>
    </tableColumn>
    <tableColumn id="6" xr3:uid="{E0B02A0A-600F-408E-A2E9-58560EB96490}" name="MF SL" dataDxfId="583">
      <calculatedColumnFormula>_xlfn.XLOOKUP(Table124161186[[#This Row],[ACA Number]],Table12716313749617385[NAT Number],Table12716313749617385[TT race points])</calculatedColumnFormula>
    </tableColumn>
    <tableColumn id="7" xr3:uid="{33D4DEEA-ABDD-48DA-92A5-4D00951C4DC6}" name="Best result" dataDxfId="582">
      <calculatedColumnFormula array="1">_xlfn.LET(_xlpm.r,Table124161186[[#This Row],[PM SL1]:[MF SL]],_xlpm.m,_xlfn.AGGREGATE(15,6,_xlpm.r/(_xlpm.r&lt;&gt;999.99),1),IFERROR(_xlpm.m,999.99))</calculatedColumnFormula>
    </tableColumn>
    <tableColumn id="8" xr3:uid="{21A2AF60-1C51-41FB-99E6-BC854A255433}" name="2nd Best Result" dataDxfId="581">
      <calculatedColumnFormula array="1">_xlfn.LET(_xlpm.r,Table124161186[[#This Row],[PM SL1]:[MF SL]],_xlpm.m,_xlfn.AGGREGATE(15,6,_xlpm.r/(_xlpm.r&lt;&gt;999.99),2),IFERROR(_xlpm.m,999.99))</calculatedColumnFormula>
    </tableColumn>
  </tableColumns>
  <tableStyleInfo name="TableStyleMedium2" showFirstColumn="0" showLastColumn="0" showRowStripes="1" showColumnStripes="0"/>
</table>
</file>

<file path=xl/tables/table1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7" xr:uid="{0A41B329-23FC-46F3-A6E8-BB325B4901CA}" name="Table122110193440526476112118" displayName="Table122110193440526476112118" ref="W2:AM26" totalsRowShown="0">
  <autoFilter ref="W2:AM26" xr:uid="{5C573A4F-9860-45EF-8B7A-2953F0241575}"/>
  <sortState xmlns:xlrd2="http://schemas.microsoft.com/office/spreadsheetml/2017/richdata2" ref="W3:AM6">
    <sortCondition ref="AH2:AH6"/>
  </sortState>
  <tableColumns count="17">
    <tableColumn id="1" xr3:uid="{B6404AD6-7F97-47DC-AFF5-1F7FD3E87F98}" name="Start Number"/>
    <tableColumn id="2" xr3:uid="{524A0F7E-DFFF-4967-B8D2-88460E68D3F9}" name="Bib"/>
    <tableColumn id="3" xr3:uid="{7BA057F9-A4B2-456C-8FFF-216A10432D18}" name="Club/Quota"/>
    <tableColumn id="4" xr3:uid="{E4929DEA-C11E-46F6-AD2D-379A9E6271F9}" name="Class"/>
    <tableColumn id="5" xr3:uid="{6B464C19-FA2E-4A16-9039-9331E27495B9}" name="Full Name"/>
    <tableColumn id="6" xr3:uid="{819DEF44-BE0E-4B13-B27B-FF81079B384D}" name="Year of Birth"/>
    <tableColumn id="7" xr3:uid="{31CACE73-0BED-428D-908A-B70F016E307F}" name="First Run Result" dataDxfId="64"/>
    <tableColumn id="8" xr3:uid="{21B7B652-D372-4CC9-AF4F-B20FA91CA453}" name="Second Run Result" dataDxfId="63"/>
    <tableColumn id="9" xr3:uid="{8A33806C-648B-4F90-BD4E-7F50D6A25E73}" name="Combined Result" dataDxfId="62"/>
    <tableColumn id="10" xr3:uid="{099D2983-2572-4AD4-A153-DE7BBDDAF14C}" name="FIS Number"/>
    <tableColumn id="11" xr3:uid="{95F194AA-D807-44DD-8A9B-C18018698797}" name="NAT Number"/>
    <tableColumn id="12" xr3:uid="{44A16F29-4DF6-4DA4-9B97-9B39448FEE09}" name="run 1 times" dataDxfId="61">
      <calculatedColumnFormula>_xlfn.LET(_xlpm.x,Table122110193440526476112118[[#This Row],[First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3" xr3:uid="{3DF9E46B-2705-47A9-AD83-B6203A1040A7}" name="run 1 points" dataDxfId="60">
      <calculatedColumnFormula>IF(Table122110193440526476112118[[#This Row],[run 1 times]]="",999.99,IF(Table122110193440526476112118[[#This Row],[run 1 times]]=$AO$3,0,MAX(0,ROUND(((Table122110193440526476112118[[#This Row],[run 1 times]]-$AO$3)/$AO$3)*$AP$6,2))))</calculatedColumnFormula>
    </tableColumn>
    <tableColumn id="14" xr3:uid="{77FBB3BA-DF3C-43D4-AFA0-E914360958EF}" name="run2 times" dataDxfId="59">
      <calculatedColumnFormula>_xlfn.LET(_xlpm.x,Table122110193440526476112118[[#This Row],[Second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5" xr3:uid="{30DA4D19-ABF6-44E0-8943-C87AD6E76A22}" name="run 2 points" dataDxfId="58">
      <calculatedColumnFormula>IF(Table122110193440526476112118[[#This Row],[run2 times]]="",999.99,IF(Table122110193440526476112118[[#This Row],[run2 times]]=$AP$3,0,MAX(0,ROUND(((Table122110193440526476112118[[#This Row],[run2 times]]-$AP$3)/$AP$3)*$AP$6,2))))</calculatedColumnFormula>
    </tableColumn>
    <tableColumn id="16" xr3:uid="{A7597704-8F31-4559-A88B-7B78388E5D78}" name="total time" dataDxfId="57">
      <calculatedColumnFormula>IF(OR(Table122110193440526476112118[[#This Row],[run 1 times]]="",Table122110193440526476112118[[#This Row],[run2 times]]=""),"",Table122110193440526476112118[[#This Row],[run 1 times]]+Table122110193440526476112118[[#This Row],[run2 times]])</calculatedColumnFormula>
    </tableColumn>
    <tableColumn id="17" xr3:uid="{AD623F42-B663-47B7-9854-65F115F34C1A}" name="TT race points" dataDxfId="56">
      <calculatedColumnFormula>IF(Table122110193440526476112118[[#This Row],[total time]]="",999.99,IF(Table122110193440526476112118[[#This Row],[total time]]=$AQ$3,0,MAX(0,ROUND(((Table122110193440526476112118[[#This Row],[total time]]-$AQ$3)/$AQ$3)*$AP$6,2))))</calculatedColumnFormula>
    </tableColumn>
  </tableColumns>
  <tableStyleInfo name="TableStyleMedium2" showFirstColumn="0" showLastColumn="0" showRowStripes="1" showColumnStripes="0"/>
</table>
</file>

<file path=xl/tables/table1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8" xr:uid="{8958E192-9D1C-402E-9104-810C7301CA04}" name="Table132211203541536577113119" displayName="Table132211203541536577113119" ref="AO2:AQ3" totalsRowShown="0" dataDxfId="55">
  <autoFilter ref="AO2:AQ3" xr:uid="{1E9C9419-73B1-4B02-B3E7-CFAF1623B428}"/>
  <tableColumns count="3">
    <tableColumn id="1" xr3:uid="{09EBE648-8CD1-4913-B246-E66A07C0CAD3}" name="run 1 best time" dataDxfId="54">
      <calculatedColumnFormula>MIN(Table122110193440526476112118[run 1 times])</calculatedColumnFormula>
    </tableColumn>
    <tableColumn id="2" xr3:uid="{216BE0FF-4D78-48A4-A807-393D535254BC}" name="run 1 best time2" dataDxfId="53">
      <calculatedColumnFormula>MIN(Table122110193440526476112118[run2 times])</calculatedColumnFormula>
    </tableColumn>
    <tableColumn id="3" xr3:uid="{42DDB5AC-CFF8-4318-9E71-4197E437FB4E}" name="combined best time" dataDxfId="52">
      <calculatedColumnFormula>MIN(Table122110193440526476112118[total time])</calculatedColumnFormula>
    </tableColumn>
  </tableColumns>
  <tableStyleInfo name="TableStyleMedium4" showFirstColumn="0" showLastColumn="0" showRowStripes="1" showColumnStripes="0"/>
</table>
</file>

<file path=xl/tables/table1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9" xr:uid="{0944C6DA-2528-4473-BF3D-E6225D7CC87B}" name="Table142312243642546678114120" displayName="Table142312243642546678114120" ref="AO5:AQ6" totalsRowShown="0">
  <autoFilter ref="AO5:AQ6" xr:uid="{8B09D38B-D3CE-4490-A64E-0B065C702DDC}"/>
  <tableColumns count="3">
    <tableColumn id="1" xr3:uid="{47962CC9-E1BC-4B06-B649-B4705043879D}" name="Slalom Factor"/>
    <tableColumn id="2" xr3:uid="{9B843AC5-AABA-41BE-A9EB-AC5E26E8451C}" name="GS Factor"/>
    <tableColumn id="3" xr3:uid="{07140207-9464-4F5C-A078-F270DD248768}" name="SG Factor"/>
  </tableColumns>
  <tableStyleInfo name="TableStyleMedium3" showFirstColumn="0" showLastColumn="0" showRowStripes="1" showColumnStripes="0"/>
</table>
</file>

<file path=xl/tables/table1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8" xr:uid="{7A7B1877-A21A-4D43-BB19-757C2B9B24C7}" name="Table127163143556779" displayName="Table127163143556779" ref="A2:Q35" totalsRowShown="0">
  <autoFilter ref="A2:Q35" xr:uid="{91B2D5C3-BD49-4471-9D0D-DD813957B41A}"/>
  <tableColumns count="17">
    <tableColumn id="1" xr3:uid="{020F7A9B-14DB-4AF6-A2CD-1B6D2ADC81CD}" name="Start Number"/>
    <tableColumn id="2" xr3:uid="{92F9FE2D-E762-4F8E-B17D-687281E81D43}" name="Bib"/>
    <tableColumn id="3" xr3:uid="{65328DB0-BE43-4F76-9CF5-7C0347A806FA}" name="Club/Quota"/>
    <tableColumn id="4" xr3:uid="{065CC089-247E-4762-89EE-25040BDF0BC6}" name="Class"/>
    <tableColumn id="5" xr3:uid="{FE8179A7-6109-4CF7-A7CF-860DB244854E}" name="Full Name"/>
    <tableColumn id="6" xr3:uid="{3D6C067D-FEDC-4464-98F8-4DB17898C491}" name="Year of Birth"/>
    <tableColumn id="7" xr3:uid="{0C0BCC95-86BF-45CD-9817-6274C6B555FD}" name="First Run Result" dataDxfId="51"/>
    <tableColumn id="8" xr3:uid="{80FEFD06-8B9B-429E-8C1C-CAB148D33B6F}" name="Second Run Result" dataDxfId="50"/>
    <tableColumn id="9" xr3:uid="{1D485CF5-3D0F-4E72-872C-878D80D9830A}" name="Combined Result" dataDxfId="49"/>
    <tableColumn id="10" xr3:uid="{A218A3E8-CD6F-42AC-B786-1343E6CECCBE}" name="FIS Number"/>
    <tableColumn id="11" xr3:uid="{878A4DBB-BD21-4986-B9B4-BA86FEC9152B}" name="NAT Number"/>
    <tableColumn id="12" xr3:uid="{2D4EF43F-B487-4DCA-AC19-E90B5CDD7AE9}" name="run 1 times" dataDxfId="48">
      <calculatedColumnFormula>_xlfn.LET(_xlpm.x,Table127163143556779[[#This Row],[First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3" xr3:uid="{F9916A49-FADD-4D53-B0DF-14AC56367BD9}" name="run 1 points" dataDxfId="47">
      <calculatedColumnFormula>IF(Table127163143556779[[#This Row],[run 1 times]]="",999.99,IF(Table127163143556779[[#This Row],[run 1 times]]=$S$3,0,MAX(0,ROUND(((Table127163143556779[[#This Row],[run 1 times]]-$S$3)/$S$3)*$S$6,2))))</calculatedColumnFormula>
    </tableColumn>
    <tableColumn id="14" xr3:uid="{9CB441A8-4C0F-4C68-A32E-B6DB2A92F724}" name="run2 times" dataDxfId="46">
      <calculatedColumnFormula>_xlfn.LET(_xlpm.x,Table127163143556779[[#This Row],[Second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5" xr3:uid="{EC1D410A-C537-443C-B68D-9CAEAB3CF42C}" name="run 2 points" dataDxfId="45">
      <calculatedColumnFormula>IF(Table127163143556779[[#This Row],[run2 times]]="",999.99,IF(Table127163143556779[[#This Row],[run2 times]]=$T$3,0,MAX(0,ROUND(((Table127163143556779[[#This Row],[run2 times]]-$T$3)/$T$3)*$S$6,2))))</calculatedColumnFormula>
    </tableColumn>
    <tableColumn id="16" xr3:uid="{6EE16806-1A2D-4845-9891-464CCA68C2C8}" name="total time" dataDxfId="44">
      <calculatedColumnFormula>IF(OR(Table127163143556779[[#This Row],[run 1 times]]="",Table127163143556779[[#This Row],[run2 times]]=""),"",Table127163143556779[[#This Row],[run 1 times]]+Table127163143556779[[#This Row],[run2 times]])</calculatedColumnFormula>
    </tableColumn>
    <tableColumn id="17" xr3:uid="{B96CE2F2-F368-4750-BA87-3CA7BBC55740}" name="TT race points" dataDxfId="43">
      <calculatedColumnFormula>IF(Table127163143556779[[#This Row],[total time]]="",999.99,IF(Table127163143556779[[#This Row],[total time]]=$U$3,0,MAX(0,ROUND(((Table127163143556779[[#This Row],[total time]]-$U$3)/$U$3)*$S$6,2))))</calculatedColumnFormula>
    </tableColumn>
  </tableColumns>
  <tableStyleInfo name="TableStyleMedium2" showFirstColumn="0" showLastColumn="0" showRowStripes="1" showColumnStripes="0"/>
</table>
</file>

<file path=xl/tables/table1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9" xr:uid="{340DA11A-1920-45D8-BE45-B957E394E633}" name="Table138173244566880" displayName="Table138173244566880" ref="S2:U3" totalsRowShown="0" dataDxfId="42">
  <autoFilter ref="S2:U3" xr:uid="{1E967C82-9863-4FB8-B686-759949E1096A}"/>
  <tableColumns count="3">
    <tableColumn id="1" xr3:uid="{B31F2E03-3C86-474A-9B1A-E2E6DC8F4BE9}" name="run 1 best time" dataDxfId="41">
      <calculatedColumnFormula>MIN(Table127163143556779[run 1 times])</calculatedColumnFormula>
    </tableColumn>
    <tableColumn id="2" xr3:uid="{276967E8-98EA-4F2C-8F0A-66F954596439}" name="run 1 best time2" dataDxfId="40">
      <calculatedColumnFormula>MIN(Table127163143556779[run2 times])</calculatedColumnFormula>
    </tableColumn>
    <tableColumn id="3" xr3:uid="{71BBB9E5-384C-4B74-938D-CA5E4098F150}" name="combined best time" dataDxfId="39">
      <calculatedColumnFormula>MIN(Table127163143556779[total time])</calculatedColumnFormula>
    </tableColumn>
  </tableColumns>
  <tableStyleInfo name="TableStyleMedium4" showFirstColumn="0" showLastColumn="0" showRowStripes="1" showColumnStripes="0"/>
</table>
</file>

<file path=xl/tables/table1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0" xr:uid="{8EB87497-D104-4FA8-A28A-48E02D2174B2}" name="Table149183345576981" displayName="Table149183345576981" ref="S5:U6" totalsRowShown="0">
  <autoFilter ref="S5:U6" xr:uid="{8A7932AC-08B3-45BE-A62F-71E99F9C6FCB}"/>
  <tableColumns count="3">
    <tableColumn id="1" xr3:uid="{3BE8D82B-93C5-47CF-81E0-87924C0501EA}" name="Slalom Factor"/>
    <tableColumn id="2" xr3:uid="{1DB0D46F-BDA1-4A5B-A6C9-BD6E5244D6A8}" name="GS Factor"/>
    <tableColumn id="3" xr3:uid="{9BC41C3B-A0E8-4A63-A41F-0CB8ED2F9FE7}" name="SG Factor"/>
  </tableColumns>
  <tableStyleInfo name="TableStyleMedium3" showFirstColumn="0" showLastColumn="0" showRowStripes="1" showColumnStripes="0"/>
</table>
</file>

<file path=xl/tables/table1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1" xr:uid="{580BB196-4AFE-41AF-8AA1-7608A63C3CFA}" name="Table122110193446587082" displayName="Table122110193446587082" ref="W2:AM22" totalsRowShown="0">
  <autoFilter ref="W2:AM22" xr:uid="{5C573A4F-9860-45EF-8B7A-2953F0241575}"/>
  <sortState xmlns:xlrd2="http://schemas.microsoft.com/office/spreadsheetml/2017/richdata2" ref="W3:AM6">
    <sortCondition ref="AH2:AH6"/>
  </sortState>
  <tableColumns count="17">
    <tableColumn id="1" xr3:uid="{F6E6549F-40B4-4691-B439-4C0FB6C0ABFC}" name="Start Number"/>
    <tableColumn id="2" xr3:uid="{0DEB44D3-8772-4C01-9281-C3E6FF2B198E}" name="Bib"/>
    <tableColumn id="3" xr3:uid="{3EA58957-FB4A-48A7-8846-298F980A32AB}" name="Club/Quota"/>
    <tableColumn id="4" xr3:uid="{A1B9D110-AF59-4A87-8C79-9BD00DED93CB}" name="Class"/>
    <tableColumn id="5" xr3:uid="{AC3BF517-9B9C-41DB-B9E5-C8A721C1C904}" name="Full Name"/>
    <tableColumn id="6" xr3:uid="{69F5F7A5-6CFE-48D4-97ED-CC0CD2987692}" name="Year of Birth"/>
    <tableColumn id="7" xr3:uid="{6057A294-E49E-410A-9316-99223771CBF2}" name="First Run Result" dataDxfId="38"/>
    <tableColumn id="8" xr3:uid="{325BC817-9BB6-4CAA-8374-B5750825ACB0}" name="Second Run Result" dataDxfId="37"/>
    <tableColumn id="9" xr3:uid="{1F32C8FF-CCF1-4728-83AB-56321C5A4C10}" name="Combined Result" dataDxfId="36"/>
    <tableColumn id="10" xr3:uid="{52A81DA5-4144-42DA-9BEB-79046A14784A}" name="FIS Number"/>
    <tableColumn id="11" xr3:uid="{C8214184-5331-4463-85AF-573D9414B032}" name="NAT Number"/>
    <tableColumn id="12" xr3:uid="{D3C0DC61-9658-4B00-8534-7F2D6A98CF21}" name="run 1 times" dataDxfId="35">
      <calculatedColumnFormula>_xlfn.LET(_xlpm.x,Table122110193446587082[[#This Row],[First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3" xr3:uid="{B965A8D8-0F54-4DD7-A968-CC50503F4E9C}" name="run 1 points" dataDxfId="34">
      <calculatedColumnFormula>IF(Table122110193446587082[[#This Row],[run 1 times]]="",999.99,IF(Table122110193446587082[[#This Row],[run 1 times]]=$AO$3,0,MAX(0,ROUND(((Table122110193446587082[[#This Row],[run 1 times]]-$AO$3)/$AO$3)*$AO$6,2))))</calculatedColumnFormula>
    </tableColumn>
    <tableColumn id="14" xr3:uid="{3775CAD6-294E-4224-AB06-D74A3CB9178D}" name="run2 times" dataDxfId="33">
      <calculatedColumnFormula>_xlfn.LET(_xlpm.x,Table122110193446587082[[#This Row],[Second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5" xr3:uid="{AF05B9D0-C479-43B3-A4B3-1559C7A33FEC}" name="run 2 points" dataDxfId="32">
      <calculatedColumnFormula>IF(Table122110193446587082[[#This Row],[run2 times]]="",999.99,IF(Table122110193446587082[[#This Row],[run2 times]]=$AP$3,0,MAX(0,ROUND(((Table122110193446587082[[#This Row],[run2 times]]-$AP$3)/$AP$3)*$AO$6,2))))</calculatedColumnFormula>
    </tableColumn>
    <tableColumn id="16" xr3:uid="{502223C5-C092-48B6-AE78-C22134E28F22}" name="total time" dataDxfId="31">
      <calculatedColumnFormula>IF(OR(Table122110193446587082[[#This Row],[run 1 times]]="",Table122110193446587082[[#This Row],[run2 times]]=""),"",Table122110193446587082[[#This Row],[run 1 times]]+Table122110193446587082[[#This Row],[run2 times]])</calculatedColumnFormula>
    </tableColumn>
    <tableColumn id="17" xr3:uid="{AD56AD2E-8D37-416B-A312-14C9029B21C8}" name="TT race points" dataDxfId="30">
      <calculatedColumnFormula>IF(Table122110193446587082[[#This Row],[total time]]="",999.99,IF(Table122110193446587082[[#This Row],[total time]]=$AQ$3,0,MAX(0,ROUND(((Table122110193446587082[[#This Row],[total time]]-$AQ$3)/$AQ$3)*$AO$6,2))))</calculatedColumnFormula>
    </tableColumn>
  </tableColumns>
  <tableStyleInfo name="TableStyleMedium2" showFirstColumn="0" showLastColumn="0" showRowStripes="1" showColumnStripes="0"/>
</table>
</file>

<file path=xl/tables/table1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2" xr:uid="{0B419849-BF55-4497-BF2F-5D76B2E796E9}" name="Table132211203547597183" displayName="Table132211203547597183" ref="AO2:AQ3" totalsRowShown="0" dataDxfId="29">
  <autoFilter ref="AO2:AQ3" xr:uid="{1E9C9419-73B1-4B02-B3E7-CFAF1623B428}"/>
  <tableColumns count="3">
    <tableColumn id="1" xr3:uid="{83EF73CD-4210-4DDC-9FBB-DC48152E198E}" name="run 1 best time" dataDxfId="28">
      <calculatedColumnFormula>MIN(Table122110193446587082[run 1 times])</calculatedColumnFormula>
    </tableColumn>
    <tableColumn id="2" xr3:uid="{DAE28D07-7838-404F-AEE4-58D70849490D}" name="run 1 best time2" dataDxfId="27">
      <calculatedColumnFormula>MIN(Table122110193446587082[run2 times])</calculatedColumnFormula>
    </tableColumn>
    <tableColumn id="3" xr3:uid="{45A33F6C-437B-417E-AC3F-7DEC9883D6B3}" name="combined best time" dataDxfId="26">
      <calculatedColumnFormula>MIN(Table122110193446587082[total time])</calculatedColumnFormula>
    </tableColumn>
  </tableColumns>
  <tableStyleInfo name="TableStyleMedium4" showFirstColumn="0" showLastColumn="0" showRowStripes="1" showColumnStripes="0"/>
</table>
</file>

<file path=xl/tables/table1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3" xr:uid="{CD7213B2-868A-471E-8379-E335DBD9ED19}" name="Table142312243648607284" displayName="Table142312243648607284" ref="AO5:AQ6" totalsRowShown="0">
  <autoFilter ref="AO5:AQ6" xr:uid="{8B09D38B-D3CE-4490-A64E-0B065C702DDC}"/>
  <tableColumns count="3">
    <tableColumn id="1" xr3:uid="{CDAFBA03-6B6F-4AA4-A41A-949E8840565C}" name="Slalom Factor"/>
    <tableColumn id="2" xr3:uid="{158EDF4C-AEB8-4851-93C1-07A7D5697DDE}" name="GS Factor"/>
    <tableColumn id="3" xr3:uid="{6A070E58-EE8F-4854-8292-0F31C6D8EF4A}" name="SG Factor"/>
  </tableColumns>
  <tableStyleInfo name="TableStyleMedium3" showFirstColumn="0" showLastColumn="0" showRowStripes="1" showColumnStripes="0"/>
</table>
</file>

<file path=xl/tables/table1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4" xr:uid="{CC8F8FD1-8594-4050-8ECC-B2A7AACD3344}" name="Table12716313749617385" displayName="Table12716313749617385" ref="A2:Q23" totalsRowShown="0">
  <autoFilter ref="A2:Q23" xr:uid="{91B2D5C3-BD49-4471-9D0D-DD813957B41A}"/>
  <tableColumns count="17">
    <tableColumn id="1" xr3:uid="{B5F9A777-4FD7-4E18-B6DD-879EB0C1ED9E}" name="Start Number"/>
    <tableColumn id="2" xr3:uid="{E4DA5F59-DF60-4F87-A1B3-60E933E95276}" name="Bib"/>
    <tableColumn id="3" xr3:uid="{F383FFC1-F025-44FD-93BF-CEC734753BCE}" name="Club/Quota"/>
    <tableColumn id="4" xr3:uid="{984EFE4A-8B4B-48D3-AFB1-D442F931D3B7}" name="Class"/>
    <tableColumn id="5" xr3:uid="{78BD8ED9-1440-46F3-8F93-8F46B4CFBFF2}" name="Full Name"/>
    <tableColumn id="6" xr3:uid="{CE6873F7-EFDC-41B4-8FE6-65215BE93CB5}" name="Year of Birth"/>
    <tableColumn id="7" xr3:uid="{0BCA6DB3-E369-4949-BDF2-62CF16992D9F}" name="First Run Result" dataDxfId="25"/>
    <tableColumn id="8" xr3:uid="{0FA033FF-032C-4272-994D-F8B4878516E0}" name="Second Run Result" dataDxfId="24"/>
    <tableColumn id="9" xr3:uid="{FED341CF-3C65-4436-9ABE-D436CCC33080}" name="Combined Result" dataDxfId="23"/>
    <tableColumn id="10" xr3:uid="{A8450DBF-3656-4F12-9E56-7E615FAC09CA}" name="FIS Number"/>
    <tableColumn id="11" xr3:uid="{9DD9555B-07C9-4118-B087-7AF08939015D}" name="NAT Number"/>
    <tableColumn id="12" xr3:uid="{F3B13E78-ED17-4658-9B0D-CDE7454BB754}" name="run 1 times" dataDxfId="22">
      <calculatedColumnFormula>_xlfn.LET(_xlpm.x,Table12716313749617385[[#This Row],[First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3" xr3:uid="{1FAA6290-B1B9-48EF-B96F-41978BF814A8}" name="run 1 points" dataDxfId="21">
      <calculatedColumnFormula>IF(Table12716313749617385[[#This Row],[run 1 times]]="",999.99,IF(Table12716313749617385[[#This Row],[run 1 times]]=$S$3,0,MAX(0,ROUND(((Table12716313749617385[[#This Row],[run 1 times]]-$S$3)/$S$3)*$S$6,2))))</calculatedColumnFormula>
    </tableColumn>
    <tableColumn id="14" xr3:uid="{3F5B7349-740D-4C1F-823B-EB96A154A9B8}" name="run2 times" dataDxfId="20">
      <calculatedColumnFormula>_xlfn.LET(_xlpm.x,Table12716313749617385[[#This Row],[Second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5" xr3:uid="{78BCC1B3-59AB-4FF7-BA75-FADC9C11284C}" name="run 2 points" dataDxfId="19">
      <calculatedColumnFormula>IF(Table12716313749617385[[#This Row],[run2 times]]="",999.99,IF(Table12716313749617385[[#This Row],[run2 times]]=$T$3,0,MAX(0,ROUND(((Table12716313749617385[[#This Row],[run2 times]]-$T$3)/$T$3)*$S$6,2))))</calculatedColumnFormula>
    </tableColumn>
    <tableColumn id="16" xr3:uid="{42E4E4C6-4F6D-4BCF-B1D1-5882564269E2}" name="total time" dataDxfId="18">
      <calculatedColumnFormula>IF(OR(Table12716313749617385[[#This Row],[run 1 times]]="",Table12716313749617385[[#This Row],[run2 times]]=""),"",Table12716313749617385[[#This Row],[run 1 times]]+Table12716313749617385[[#This Row],[run2 times]])</calculatedColumnFormula>
    </tableColumn>
    <tableColumn id="17" xr3:uid="{94362556-E8DF-456C-A536-DCC9934680E1}" name="TT race points" dataDxfId="17">
      <calculatedColumnFormula>IF(Table12716313749617385[[#This Row],[total time]]="",999.99,IF(Table12716313749617385[[#This Row],[total time]]=$U$3,0,MAX(0,ROUND(((Table12716313749617385[[#This Row],[total time]]-$U$3)/$U$3)*$S$6,2))))</calculatedColumnFormula>
    </tableColumn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6" xr:uid="{CD54DEAA-C39C-4A5F-9D45-71CD8DA97BF3}" name="Table125162187" displayName="Table125162187" ref="AF2:AM22" totalsRowShown="0">
  <autoFilter ref="AF2:AM22" xr:uid="{043FEDCE-DECA-4CD2-98DF-9938874C3A11}"/>
  <tableColumns count="8">
    <tableColumn id="1" xr3:uid="{75E475F1-A30D-488A-B7BE-B43E2C46911F}" name="ACA Number"/>
    <tableColumn id="2" xr3:uid="{D8021BA1-29F4-426F-8BD2-809493F920EB}" name="name "/>
    <tableColumn id="3" xr3:uid="{DF7B54A7-F88A-46EC-9BCB-AA17FDBCA094}" name="Category"/>
    <tableColumn id="4" xr3:uid="{1039108E-60FD-4EEA-B988-282AE8A4727A}" name="CM GS1" dataDxfId="580">
      <calculatedColumnFormula>_xlfn.XLOOKUP(Table125162187[[#This Row],[ACA Number]],Table127163137496173[NAT Number],Table127163137496173[TT race points])</calculatedColumnFormula>
    </tableColumn>
    <tableColumn id="5" xr3:uid="{741BBF61-2C92-45CF-BA13-E10784992F4A}" name="CM GS2" dataDxfId="579">
      <calculatedColumnFormula>_xlfn.XLOOKUP(Table125162187[[#This Row],[ACA Number]],Table127163137496173109[NAT Number],Table127163137496173109[TT race points])</calculatedColumnFormula>
    </tableColumn>
    <tableColumn id="6" xr3:uid="{2EB9C1FC-36C4-4ADC-A483-4BD29586E038}" name="MF GS" dataDxfId="578">
      <calculatedColumnFormula>_xlfn.XLOOKUP(Table125162187[[#This Row],[ACA Number]],Table127163137496173109115[NAT Number],Table127163137496173109115[TT race points])</calculatedColumnFormula>
    </tableColumn>
    <tableColumn id="7" xr3:uid="{430084B0-5AC2-4DD7-9BAE-FD474026F36C}" name="Best result" dataDxfId="577">
      <calculatedColumnFormula array="1">_xlfn.LET(_xlpm.r,Table125162187[[#This Row],[CM GS1]:[MF GS]],_xlpm.m,_xlfn.AGGREGATE(15,6,_xlpm.r/(_xlpm.r&lt;&gt;999.99),1),IFERROR(_xlpm.m,999.99))</calculatedColumnFormula>
    </tableColumn>
    <tableColumn id="8" xr3:uid="{51CE913E-2BE2-4952-A8F8-050834995F84}" name="2nd Best Result" dataDxfId="576">
      <calculatedColumnFormula array="1">_xlfn.LET(_xlpm.r,Table125162187[[#This Row],[CM GS1]:[MF GS]],_xlpm.m,_xlfn.AGGREGATE(15,6,_xlpm.r/(_xlpm.r&lt;&gt;999.99),2),IFERROR(_xlpm.m,999.99))</calculatedColumnFormula>
    </tableColumn>
  </tableColumns>
  <tableStyleInfo name="TableStyleMedium4" showFirstColumn="0" showLastColumn="0" showRowStripes="1" showColumnStripes="0"/>
</table>
</file>

<file path=xl/tables/table1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5" xr:uid="{8DBBB4E6-263C-40C2-9411-B63D32041A77}" name="Table13817323850627486" displayName="Table13817323850627486" ref="S2:U3" totalsRowShown="0" dataDxfId="16">
  <autoFilter ref="S2:U3" xr:uid="{1E967C82-9863-4FB8-B686-759949E1096A}"/>
  <tableColumns count="3">
    <tableColumn id="1" xr3:uid="{8B7040BC-0490-4342-8619-856CF5FEFE05}" name="run 1 best time" dataDxfId="15">
      <calculatedColumnFormula>MIN(Table12716313749617385[run 1 times])</calculatedColumnFormula>
    </tableColumn>
    <tableColumn id="2" xr3:uid="{D925C590-7B5E-48C6-AD4E-9D70BBCFC244}" name="run 1 best time2" dataDxfId="14">
      <calculatedColumnFormula>MIN(Table12716313749617385[run2 times])</calculatedColumnFormula>
    </tableColumn>
    <tableColumn id="3" xr3:uid="{37DD0F49-2D89-4C1B-95E5-8029627D62E3}" name="combined best time" dataDxfId="13">
      <calculatedColumnFormula>MIN(Table12716313749617385[total time])</calculatedColumnFormula>
    </tableColumn>
  </tableColumns>
  <tableStyleInfo name="TableStyleMedium4" showFirstColumn="0" showLastColumn="0" showRowStripes="1" showColumnStripes="0"/>
</table>
</file>

<file path=xl/tables/table1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6" xr:uid="{2C4AB24A-34D8-44E4-BDA2-C2C31EBDB93F}" name="Table14918333951637587" displayName="Table14918333951637587" ref="S5:U6" totalsRowShown="0">
  <autoFilter ref="S5:U6" xr:uid="{8A7932AC-08B3-45BE-A62F-71E99F9C6FCB}"/>
  <tableColumns count="3">
    <tableColumn id="1" xr3:uid="{EBDDD324-202A-4BBE-B5AF-C9B1C86FFCD6}" name="Slalom Factor"/>
    <tableColumn id="2" xr3:uid="{E50ED5E3-D198-421D-9F95-645D3CDCDEF5}" name="GS Factor"/>
    <tableColumn id="3" xr3:uid="{7AE12E6B-2F7A-4D1D-87B1-11B96CBDD4D4}" name="SG Factor"/>
  </tableColumns>
  <tableStyleInfo name="TableStyleMedium3" showFirstColumn="0" showLastColumn="0" showRowStripes="1" showColumnStripes="0"/>
</table>
</file>

<file path=xl/tables/table1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7" xr:uid="{43E8237F-0553-46A9-84C4-DD4E95B63F7A}" name="Table12211019344052647688" displayName="Table12211019344052647688" ref="W2:AM26" totalsRowShown="0">
  <autoFilter ref="W2:AM26" xr:uid="{5C573A4F-9860-45EF-8B7A-2953F0241575}"/>
  <sortState xmlns:xlrd2="http://schemas.microsoft.com/office/spreadsheetml/2017/richdata2" ref="W3:AM6">
    <sortCondition ref="AH2:AH6"/>
  </sortState>
  <tableColumns count="17">
    <tableColumn id="1" xr3:uid="{0653C73C-5982-4084-94A1-649E01355296}" name="Start Number"/>
    <tableColumn id="2" xr3:uid="{30F5D973-62B9-4EB7-B2A1-B0F21DD87642}" name="Bib"/>
    <tableColumn id="3" xr3:uid="{56123F35-C558-4499-B816-297F9E924CCB}" name="Club/Quota"/>
    <tableColumn id="4" xr3:uid="{980E27E6-E0F7-4ABF-B8F5-D9C58B3C1726}" name="Class"/>
    <tableColumn id="5" xr3:uid="{2CAB2359-9B97-4902-9E41-9EF0436AC27E}" name="Full Name"/>
    <tableColumn id="6" xr3:uid="{EC9D6ACC-7255-4E38-A054-77384E88AB5A}" name="Year of Birth"/>
    <tableColumn id="7" xr3:uid="{3AE55CED-6413-4D57-8932-AEF344AE96B6}" name="First Run Result" dataDxfId="12"/>
    <tableColumn id="8" xr3:uid="{65FB43DE-0982-4ED8-8201-9B255BED2FF2}" name="Second Run Result" dataDxfId="11"/>
    <tableColumn id="9" xr3:uid="{E3133F12-AEA2-47B5-A46F-FEA31FAC0B25}" name="Combined Result" dataDxfId="10"/>
    <tableColumn id="10" xr3:uid="{088DA1C4-C3CF-48E5-8D81-0A538AEBF09E}" name="FIS Number"/>
    <tableColumn id="11" xr3:uid="{3A67030F-08AF-4357-8D46-4D719647A7A4}" name="NAT Number"/>
    <tableColumn id="12" xr3:uid="{1EA81E4C-131F-489C-B636-9811E6CADD58}" name="run 1 times" dataDxfId="9">
      <calculatedColumnFormula>_xlfn.LET(_xlpm.x,Table12211019344052647688[[#This Row],[First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3" xr3:uid="{38AB00A6-BB18-455F-9EF4-9746B57E8C70}" name="run 1 points" dataDxfId="8">
      <calculatedColumnFormula>IF(Table12211019344052647688[[#This Row],[run 1 times]]="",999.99,IF(Table12211019344052647688[[#This Row],[run 1 times]]=$AO$3,0,MAX(0,ROUND(((Table12211019344052647688[[#This Row],[run 1 times]]-$AO$3)/$AO$3)*$AO$6,2))))</calculatedColumnFormula>
    </tableColumn>
    <tableColumn id="14" xr3:uid="{B12C6779-C6B2-4428-943D-7BF3EB2503D8}" name="run2 times" dataDxfId="7">
      <calculatedColumnFormula>_xlfn.LET(_xlpm.x,Table12211019344052647688[[#This Row],[Second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5" xr3:uid="{DE3B92A6-739E-4248-A707-6AA0F4BE46BF}" name="run 2 points" dataDxfId="6">
      <calculatedColumnFormula>IF(Table12211019344052647688[[#This Row],[run2 times]]="",999.99,IF(Table12211019344052647688[[#This Row],[run2 times]]=$AP$3,0,MAX(0,ROUND(((Table12211019344052647688[[#This Row],[run2 times]]-$AP$3)/$AP$3)*$AO$6,2))))</calculatedColumnFormula>
    </tableColumn>
    <tableColumn id="16" xr3:uid="{82CD273B-35E5-4C30-91BF-4EE0FB8EAE64}" name="total time" dataDxfId="5">
      <calculatedColumnFormula>IF(OR(Table12211019344052647688[[#This Row],[run 1 times]]="",Table12211019344052647688[[#This Row],[run2 times]]=""),"",Table12211019344052647688[[#This Row],[run 1 times]]+Table12211019344052647688[[#This Row],[run2 times]])</calculatedColumnFormula>
    </tableColumn>
    <tableColumn id="17" xr3:uid="{ED400FEA-2C1B-4564-AC4C-F93BDBC6169C}" name="TT race points" dataDxfId="4">
      <calculatedColumnFormula>IF(Table12211019344052647688[[#This Row],[total time]]="",999.99,IF(Table12211019344052647688[[#This Row],[total time]]=$AQ$3,0,MAX(0,ROUND(((Table12211019344052647688[[#This Row],[total time]]-$AQ$3)/$AQ$3)*$AO$6,2))))</calculatedColumnFormula>
    </tableColumn>
  </tableColumns>
  <tableStyleInfo name="TableStyleMedium2" showFirstColumn="0" showLastColumn="0" showRowStripes="1" showColumnStripes="0"/>
</table>
</file>

<file path=xl/tables/table1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8" xr:uid="{DC978EBD-FAC2-46BF-8A3A-86B1AF9F0774}" name="Table13221120354153657789" displayName="Table13221120354153657789" ref="AO2:AQ3" totalsRowShown="0" dataDxfId="3">
  <autoFilter ref="AO2:AQ3" xr:uid="{1E9C9419-73B1-4B02-B3E7-CFAF1623B428}"/>
  <tableColumns count="3">
    <tableColumn id="1" xr3:uid="{2C3889E4-2DDD-4CE3-985A-9FD84B8828EF}" name="run 1 best time" dataDxfId="2">
      <calculatedColumnFormula>MIN(Table12211019344052647688[run 1 times])</calculatedColumnFormula>
    </tableColumn>
    <tableColumn id="2" xr3:uid="{3F38EB4D-A15D-4BC5-AFD3-C6C98618B289}" name="run 1 best time2" dataDxfId="1">
      <calculatedColumnFormula>MIN(Table12211019344052647688[run2 times])</calculatedColumnFormula>
    </tableColumn>
    <tableColumn id="3" xr3:uid="{A97DE14D-5384-4813-9400-7186E1244C2A}" name="combined best time" dataDxfId="0">
      <calculatedColumnFormula>MIN(Table12211019344052647688[total time])</calculatedColumnFormula>
    </tableColumn>
  </tableColumns>
  <tableStyleInfo name="TableStyleMedium4" showFirstColumn="0" showLastColumn="0" showRowStripes="1" showColumnStripes="0"/>
</table>
</file>

<file path=xl/tables/table1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9" xr:uid="{52C0106B-85F0-43AD-B8C2-A2C4D80B4D3F}" name="Table14231224364254667890" displayName="Table14231224364254667890" ref="AO5:AQ6" totalsRowShown="0">
  <autoFilter ref="AO5:AQ6" xr:uid="{8B09D38B-D3CE-4490-A64E-0B065C702DDC}"/>
  <tableColumns count="3">
    <tableColumn id="1" xr3:uid="{F6D74068-D8A8-4602-B0A5-AD653BF6BFC8}" name="Slalom Factor"/>
    <tableColumn id="2" xr3:uid="{DC9899DC-1A6D-4076-B39B-90E2EEA95D55}" name="GS Factor"/>
    <tableColumn id="3" xr3:uid="{F91C8A44-5FBB-4774-AAE8-EF19651786AE}" name="SG Factor"/>
  </tableColumns>
  <tableStyleInfo name="TableStyleMedium3" showFirstColumn="0" showLastColumn="0" showRowStripes="1" showColumnStripes="0"/>
</table>
</file>

<file path=xl/tables/table1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59AAECA-2CFF-478C-B264-7AC2DCBDDFA4}" name="Table3" displayName="Table3" ref="A1:B31" totalsRowShown="0">
  <autoFilter ref="A1:B31" xr:uid="{859AAECA-2CFF-478C-B264-7AC2DCBDDFA4}"/>
  <tableColumns count="2">
    <tableColumn id="1" xr3:uid="{A682DA14-B1C3-4C74-A07E-06AA204F2E73}" name="Place "/>
    <tableColumn id="2" xr3:uid="{36E6B7A1-D89E-4394-8985-08582F56D38F}" name="Points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7" xr:uid="{5679DE8D-BAC9-40A3-9402-F228FF53CE94}" name="Table126163188" displayName="Table126163188" ref="AO2:AY22" totalsRowShown="0">
  <autoFilter ref="AO2:AY22" xr:uid="{5869560C-5090-4E74-ACA4-FC05EEFA980A}"/>
  <sortState xmlns:xlrd2="http://schemas.microsoft.com/office/spreadsheetml/2017/richdata2" ref="AO3:AY22">
    <sortCondition ref="AY2:AY22"/>
  </sortState>
  <tableColumns count="11">
    <tableColumn id="1" xr3:uid="{E0CC48C6-CA33-46B4-B726-5079F91AA2F2}" name="ACA Number"/>
    <tableColumn id="2" xr3:uid="{E067F9C5-9B51-43D0-900B-5D3ABA1D8351}" name="name "/>
    <tableColumn id="3" xr3:uid="{8B177B29-CBE8-426E-B6A4-9FE8C88BBEEC}" name="Category"/>
    <tableColumn id="4" xr3:uid="{5CF94C94-D513-4FE0-861B-66C3C1CDE8BC}" name="SL 1 run" dataDxfId="575">
      <calculatedColumnFormula>_xlfn.XLOOKUP(Table126163188[[#This Row],[ACA Number]],Table121158183[ACA Number],Table121158183[Best 1 run SL race])</calculatedColumnFormula>
    </tableColumn>
    <tableColumn id="5" xr3:uid="{E39C82BC-A5F5-4BE0-85CD-0F0AFCB02C5C}" name="GS 1 Run" dataDxfId="574">
      <calculatedColumnFormula>_xlfn.XLOOKUP(Table126163188[[#This Row],[ACA Number]],Table123160185[ACA Number],Table123160185[Best 1 Run])</calculatedColumnFormula>
    </tableColumn>
    <tableColumn id="7" xr3:uid="{AF8F591A-9809-480A-8397-9F2B8DA96DD1}" name="Best SL race" dataDxfId="573">
      <calculatedColumnFormula>_xlfn.XLOOKUP(Table126163188[[#This Row],[ACA Number]],Table124161186[ACA Number],Table124161186[Best result],)</calculatedColumnFormula>
    </tableColumn>
    <tableColumn id="8" xr3:uid="{B51C70D6-A655-48EE-B70A-179A02875AA1}" name="2nd Best SL race" dataDxfId="572">
      <calculatedColumnFormula>_xlfn.XLOOKUP(Table126163188[[#This Row],[ACA Number]],Table124161186[ACA Number],Table124161186[2nd Best Result])</calculatedColumnFormula>
    </tableColumn>
    <tableColumn id="9" xr3:uid="{B4A47712-E01B-4AE9-AC6B-B50F8E6099CA}" name="Best GS race" dataDxfId="571">
      <calculatedColumnFormula>_xlfn.XLOOKUP(Table126163188[[#This Row],[ACA Number]],Table125162187[ACA Number],Table125162187[Best result])</calculatedColumnFormula>
    </tableColumn>
    <tableColumn id="10" xr3:uid="{2042CFC6-E20B-4885-A162-4E60725A6611}" name="2nd Best GS race" dataDxfId="570">
      <calculatedColumnFormula>_xlfn.XLOOKUP(Table126163188[[#This Row],[ACA Number]],Table125162187[ACA Number],Table125162187[2nd Best Result])</calculatedColumnFormula>
    </tableColumn>
    <tableColumn id="11" xr3:uid="{1921FB96-3C3C-4FA9-A60D-8536125A92FD}" name="Total Points" dataDxfId="569">
      <calculatedColumnFormula>SUM(AR3:AW3)</calculatedColumnFormula>
    </tableColumn>
    <tableColumn id="12" xr3:uid="{1053B490-1B9A-407C-B446-9715B91DEAE9}" name="Position" dataDxfId="568">
      <calculatedColumnFormula>_xlfn.RANK.EQ(Table126163188[[#This Row],[Total Points]],Table126163188[Total Points],1)</calculatedColumnFormula>
    </tableColumn>
  </tableColumns>
  <tableStyleInfo name="TableStyleMedium5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1" xr:uid="{85C0A356-491F-445E-A4A9-9FE52FC76524}" name="Table121" displayName="Table121" ref="A2:J23" totalsRowShown="0">
  <autoFilter ref="A2:J23" xr:uid="{85C0A356-491F-445E-A4A9-9FE52FC76524}"/>
  <sortState xmlns:xlrd2="http://schemas.microsoft.com/office/spreadsheetml/2017/richdata2" ref="A3:J23">
    <sortCondition ref="J2:J23"/>
  </sortState>
  <tableColumns count="10">
    <tableColumn id="1" xr3:uid="{50D2C70E-019A-43CB-B0AD-3AAD7008BA87}" name="ACA Number"/>
    <tableColumn id="2" xr3:uid="{0D699F4F-93A3-4D4C-949D-47EEE51B3310}" name="name "/>
    <tableColumn id="3" xr3:uid="{3B1B946A-3418-4B88-9150-D07907B435A7}" name="Category"/>
    <tableColumn id="4" xr3:uid="{DCCA841A-4DBA-4DB0-ABCE-A0433E50FA1D}" name="PM SL1 R1" dataDxfId="567">
      <calculatedColumnFormula>_xlfn.XLOOKUP(Table121[[#This Row],[ACA Number]],Table12[NAT Number],Table12[run 1 points])</calculatedColumnFormula>
    </tableColumn>
    <tableColumn id="5" xr3:uid="{BA74F797-12FA-4E96-B71E-F1E04105FDEC}" name="PM SL1 R2" dataDxfId="566">
      <calculatedColumnFormula>_xlfn.XLOOKUP(Table121[[#This Row],[ACA Number]],Table12[NAT Number],Table12[run 2 points])</calculatedColumnFormula>
    </tableColumn>
    <tableColumn id="6" xr3:uid="{E9E29574-B36B-4572-ACFF-4BDEF2A9BFAD}" name="PM SL2 R1" dataDxfId="565">
      <calculatedColumnFormula>_xlfn.XLOOKUP(Table121[[#This Row],[ACA Number]],Table1225[NAT Number],Table1225[run 1 points])</calculatedColumnFormula>
    </tableColumn>
    <tableColumn id="7" xr3:uid="{2B4C6CE2-62E4-4D94-8D4D-258628172E1B}" name="PM SL2 R2" dataDxfId="564">
      <calculatedColumnFormula>_xlfn.XLOOKUP(Table121[[#This Row],[ACA Number]],Table1225[NAT Number],Table1225[run 2 points])</calculatedColumnFormula>
    </tableColumn>
    <tableColumn id="8" xr3:uid="{F0973F73-672F-4327-8547-A15F8E554A31}" name="MF SL1 R1" dataDxfId="563">
      <calculatedColumnFormula>_xlfn.XLOOKUP(Table121[[#This Row],[ACA Number]],Table127163143556779[NAT Number],Table127163143556779[run 1 points])</calculatedColumnFormula>
    </tableColumn>
    <tableColumn id="9" xr3:uid="{677EE0E6-F565-4B22-A0D1-DAB5FF713A0B}" name="MF SL1 R2" dataDxfId="562">
      <calculatedColumnFormula>_xlfn.XLOOKUP(Table121[[#This Row],[ACA Number]],Table127163143556779[NAT Number],Table127163143556779[run 2 points])</calculatedColumnFormula>
    </tableColumn>
    <tableColumn id="10" xr3:uid="{6A7DAEC0-8699-49DD-BC2F-7842DAC5F37D}" name="Best 1 run SL race" dataDxfId="561">
      <calculatedColumnFormula array="1">_xlfn.LET(_xlpm.r,Table121[[#This Row],[PM SL1 R1]:[MF SL1 R2]],_xlpm.m,_xlfn.AGGREGATE(15,6,_xlpm.r/(_xlpm.r&lt;&gt;999.99),1),IFERROR(_xlpm.m,999.99))</calculatedColumnFormula>
    </tableColumn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2" xr:uid="{E74D20A9-1825-4954-AAEF-2F934A165E42}" name="Table122" displayName="Table122" ref="L2:Q23" totalsRowShown="0">
  <autoFilter ref="L2:Q23" xr:uid="{E74D20A9-1825-4954-AAEF-2F934A165E42}"/>
  <tableColumns count="6">
    <tableColumn id="1" xr3:uid="{CDF82DBD-F9DE-4419-9B99-88AC63FFED0D}" name="ACA Number"/>
    <tableColumn id="2" xr3:uid="{75674A52-DAD5-46AD-99A2-46F98DAAF50F}" name="name "/>
    <tableColumn id="3" xr3:uid="{90B32F2C-2DCC-43CF-AA06-47464DA40049}" name="Category"/>
    <tableColumn id="4" xr3:uid="{E0C47467-F843-4178-8B0F-13F67D18BD73}" name="CM SG R1" dataDxfId="560">
      <calculatedColumnFormula>_xlfn.XLOOKUP(Table122[[#This Row],[ACA Number]],Table1271631[NAT Number],Table1271631[run 1 points])</calculatedColumnFormula>
    </tableColumn>
    <tableColumn id="5" xr3:uid="{E42D48DB-339E-4AA4-B51C-9C1233CDDA7E}" name="CM SG R2" dataDxfId="559">
      <calculatedColumnFormula>_xlfn.XLOOKUP(Table122[[#This Row],[ACA Number]],Table1221101934[NAT Number],Table1221101934[run 1 points])</calculatedColumnFormula>
    </tableColumn>
    <tableColumn id="6" xr3:uid="{BA812E7D-6892-4A3F-9706-706483F83EF0}" name="Best 1 run GS Race" dataDxfId="558">
      <calculatedColumnFormula array="1">_xlfn.LET(_xlpm.r,Table122[[#This Row],[CM SG R1]:[CM SG R2]],_xlpm.m,_xlfn.AGGREGATE(15,6,_xlpm.r/(_xlpm.r&lt;&gt;999.99),1),IFERROR(_xlpm.m,999.99))</calculatedColumnFormula>
    </tableColumn>
  </tableColumns>
  <tableStyleInfo name="TableStyleMedium3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3" xr:uid="{7EB29342-CFCE-47CD-B3C4-FA634C2F4C22}" name="Table123" displayName="Table123" ref="S2:AB23" totalsRowShown="0">
  <autoFilter ref="S2:AB23" xr:uid="{7EB29342-CFCE-47CD-B3C4-FA634C2F4C22}"/>
  <tableColumns count="10">
    <tableColumn id="1" xr3:uid="{40061399-DA1C-41EE-A3A2-209238803CCB}" name="ACA Number"/>
    <tableColumn id="2" xr3:uid="{12544087-DA88-4188-9426-BFC5B6D7DDED}" name="name "/>
    <tableColumn id="3" xr3:uid="{8D510244-8C82-4838-ABE8-6F615F3A3D26}" name="Category"/>
    <tableColumn id="4" xr3:uid="{DF4F4B0B-AF99-4688-B33B-2CECDEE8FB28}" name="CM GS1 R1" dataDxfId="557">
      <calculatedColumnFormula>_xlfn.XLOOKUP(Table123[[#This Row],[ACA Number]],Table127163143556797103[NAT Number],Table127163143556797103[run 1 points])</calculatedColumnFormula>
    </tableColumn>
    <tableColumn id="5" xr3:uid="{0E544BD8-4FE4-436B-A5A5-544BAD3721B3}" name="CM GS1 R2" dataDxfId="556">
      <calculatedColumnFormula>_xlfn.XLOOKUP(Table123[[#This Row],[ACA Number]],Table127163143556797103[NAT Number],Table127163143556797103[run 2 points])</calculatedColumnFormula>
    </tableColumn>
    <tableColumn id="6" xr3:uid="{299C85A9-5395-485A-90B6-AB95E88FD34C}" name="CM GS2 R1" dataDxfId="555">
      <calculatedColumnFormula>_xlfn.XLOOKUP(Table123[[#This Row],[ACA Number]],Table127163143556797[NAT Number],Table127163143556797[run 1 points])</calculatedColumnFormula>
    </tableColumn>
    <tableColumn id="7" xr3:uid="{F8170E63-DBA9-4D4B-BA83-8F3EA25D76DE}" name="CM GS2 R2" dataDxfId="554">
      <calculatedColumnFormula>_xlfn.XLOOKUP(Table123[[#This Row],[ACA Number]],Table127163143556797[NAT Number],Table127163143556797[run 2 points])</calculatedColumnFormula>
    </tableColumn>
    <tableColumn id="8" xr3:uid="{8B494615-A83D-4956-9D59-8136F9D08E07}" name="MF GS R1" dataDxfId="553">
      <calculatedColumnFormula>_xlfn.XLOOKUP(Table123[[#This Row],[ACA Number]],Table1271631435567[NAT Number],Table1271631435567[run 1 points])</calculatedColumnFormula>
    </tableColumn>
    <tableColumn id="9" xr3:uid="{1523B507-5C2B-41D5-8D24-249AB9F39DD3}" name="MF GS R2" dataDxfId="552">
      <calculatedColumnFormula>_xlfn.XLOOKUP(Table123[[#This Row],[ACA Number]],Table1271631435567[NAT Number],Table1271631435567[run 2 points])</calculatedColumnFormula>
    </tableColumn>
    <tableColumn id="10" xr3:uid="{F30BC184-0CDC-4D1A-9D76-32AEBD7DE14A}" name="Best 1 Run" dataDxfId="551">
      <calculatedColumnFormula array="1">_xlfn.LET(_xlpm.r,Table123[[#This Row],[CM GS1 R1]:[MF GS R2]],_xlpm.m,_xlfn.AGGREGATE(15,6,_xlpm.r/(_xlpm.r&lt;&gt;999.99),1),IFERROR(_xlpm.m,999.99))</calculatedColumnFormula>
    </tableColumn>
  </tableColumns>
  <tableStyleInfo name="TableStyleMedium4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4" xr:uid="{D3734791-4308-4B60-9978-E73DE653AC01}" name="Table124" displayName="Table124" ref="AD2:AK23" totalsRowShown="0">
  <autoFilter ref="AD2:AK23" xr:uid="{D3734791-4308-4B60-9978-E73DE653AC01}"/>
  <tableColumns count="8">
    <tableColumn id="1" xr3:uid="{53BD2665-6771-40A2-A383-742D80A877BB}" name="ACA Number"/>
    <tableColumn id="2" xr3:uid="{EFA1055A-9BA0-41DF-B736-0600EC6D93E4}" name="name "/>
    <tableColumn id="3" xr3:uid="{45C1F126-B2DE-4112-AFF1-107C81784FEE}" name="Category"/>
    <tableColumn id="4" xr3:uid="{874E56A0-AF64-4442-8C33-7F810B1E094C}" name="PM SL1" dataDxfId="550">
      <calculatedColumnFormula>_xlfn.XLOOKUP(Table124[[#This Row],[ACA Number]],Table12[NAT Number],Table12[TT race points])</calculatedColumnFormula>
    </tableColumn>
    <tableColumn id="5" xr3:uid="{3456F0E3-172E-4826-BB29-669D7C0C1417}" name="PM SL2" dataDxfId="549">
      <calculatedColumnFormula>_xlfn.XLOOKUP(Table124[[#This Row],[ACA Number]],Table1225[NAT Number],Table1225[TT race points])</calculatedColumnFormula>
    </tableColumn>
    <tableColumn id="6" xr3:uid="{A39E27AD-B8E2-4FA7-BC9A-EBDC6B69EDD6}" name="MF SL" dataDxfId="548">
      <calculatedColumnFormula>_xlfn.XLOOKUP(Table124[[#This Row],[ACA Number]],Table127163143556779[NAT Number],Table127163143556779[TT race points])</calculatedColumnFormula>
    </tableColumn>
    <tableColumn id="7" xr3:uid="{41E740EC-1B40-4284-B27F-2B47AEABAB0E}" name="Best result" dataDxfId="547">
      <calculatedColumnFormula array="1">_xlfn.LET(_xlpm.r,Table124[[#This Row],[PM SL1]:[MF SL]],_xlpm.m,_xlfn.AGGREGATE(15,6,_xlpm.r/(_xlpm.r&lt;&gt;999.99),1),IFERROR(_xlpm.m,999.99))</calculatedColumnFormula>
    </tableColumn>
    <tableColumn id="8" xr3:uid="{41385310-FA39-448A-9139-05A680658438}" name="2nd Best Result" dataDxfId="546">
      <calculatedColumnFormula array="1">_xlfn.LET(_xlpm.r,Table124[[#This Row],[PM SL1]:[MF SL]],_xlpm.m,_xlfn.AGGREGATE(15,6,_xlpm.r/(_xlpm.r&lt;&gt;999.99),2),IFERROR(_xlpm.m,999.99))</calculatedColumnFormula>
    </tableColumn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5" xr:uid="{043FEDCE-DECA-4CD2-98DF-9938874C3A11}" name="Table125" displayName="Table125" ref="AM2:AT23" totalsRowShown="0">
  <autoFilter ref="AM2:AT23" xr:uid="{043FEDCE-DECA-4CD2-98DF-9938874C3A11}"/>
  <tableColumns count="8">
    <tableColumn id="1" xr3:uid="{87B5FABF-4132-4143-977D-22226C1D999F}" name="ACA Number"/>
    <tableColumn id="2" xr3:uid="{8926C10E-20E5-4630-A341-3D1A52910F82}" name="name "/>
    <tableColumn id="3" xr3:uid="{20F8F18C-3A20-47EE-B440-D522A6A9B1FE}" name="Category"/>
    <tableColumn id="4" xr3:uid="{C5412C4F-0332-4FE7-86EA-B80EABA849D2}" name="CM GS1" dataDxfId="545">
      <calculatedColumnFormula>_xlfn.XLOOKUP(Table125[[#This Row],[ACA Number]],Table127163143556797103[NAT Number],Table127163143556797103[TT race points])</calculatedColumnFormula>
    </tableColumn>
    <tableColumn id="5" xr3:uid="{2831F2B2-A533-4833-9E20-6C687B2245A7}" name="CM GS2" dataDxfId="544">
      <calculatedColumnFormula>_xlfn.XLOOKUP(Table125[[#This Row],[ACA Number]],Table127163143556797[NAT Number],Table127163143556797[TT race points])</calculatedColumnFormula>
    </tableColumn>
    <tableColumn id="6" xr3:uid="{4C14EDB8-4499-40B0-809E-8249D2A47E4E}" name="MF GS" dataDxfId="543">
      <calculatedColumnFormula>_xlfn.XLOOKUP(Table125[[#This Row],[ACA Number]],Table1271631435567[NAT Number],Table1271631435567[TT race points])</calculatedColumnFormula>
    </tableColumn>
    <tableColumn id="7" xr3:uid="{1FF015B8-B847-4770-A856-3D39FEDD6EBF}" name="Best result" dataDxfId="542">
      <calculatedColumnFormula array="1">_xlfn.LET(_xlpm.r,Table125[[#This Row],[CM GS1]:[MF GS]],_xlpm.m,_xlfn.AGGREGATE(15,6,_xlpm.r/(_xlpm.r&lt;&gt;999.99),1),IFERROR(_xlpm.m,999.99))</calculatedColumnFormula>
    </tableColumn>
    <tableColumn id="8" xr3:uid="{C305ECC3-9E28-434F-AC92-0F0725336A70}" name="2nd Best Result" dataDxfId="541">
      <calculatedColumnFormula array="1">_xlfn.LET(_xlpm.r,Table125[[#This Row],[CM GS1]:[MF GS]],_xlpm.m,_xlfn.AGGREGATE(15,6,_xlpm.r/(_xlpm.r&lt;&gt;999.99),2),IFERROR(_xlpm.m,999.99))</calculatedColumnFormula>
    </tableColumn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B5D3934-1749-4A80-927E-68E443E3124A}" name="Table2" displayName="Table2" ref="AB1:AE14" totalsRowShown="0">
  <autoFilter ref="AB1:AE14" xr:uid="{EB5D3934-1749-4A80-927E-68E443E3124A}"/>
  <tableColumns count="4">
    <tableColumn id="1" xr3:uid="{AE45B6F0-F76A-4BBA-BFC6-62D019884FF4}" name="YOB"/>
    <tableColumn id="2" xr3:uid="{7AD8C639-A612-4EE7-B26A-02AB3E7B5A51}" name="Category"/>
    <tableColumn id="3" xr3:uid="{68311886-CC87-44A3-B912-90EB00DFAA81}" name="Year end"/>
    <tableColumn id="4" xr3:uid="{9E46AFAD-954F-4479-AA73-EF344D1BA952}" name="Age">
      <calculatedColumnFormula>AD2-AB2</calculatedColumnFormula>
    </tableColumn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6" xr:uid="{5869560C-5090-4E74-ACA4-FC05EEFA980A}" name="Table126" displayName="Table126" ref="AV2:BG23" totalsRowShown="0">
  <autoFilter ref="AV2:BG23" xr:uid="{5869560C-5090-4E74-ACA4-FC05EEFA980A}"/>
  <sortState xmlns:xlrd2="http://schemas.microsoft.com/office/spreadsheetml/2017/richdata2" ref="AV3:BG23">
    <sortCondition ref="BG2:BG23"/>
  </sortState>
  <tableColumns count="12">
    <tableColumn id="1" xr3:uid="{0C01419F-752E-4531-9A3D-205E0934FA6F}" name="ACA Number"/>
    <tableColumn id="2" xr3:uid="{366115A0-E420-4B6F-A5A8-59C977B3AEA4}" name="name "/>
    <tableColumn id="3" xr3:uid="{72996779-52D1-4104-B4E2-D72549F8B571}" name="Category"/>
    <tableColumn id="4" xr3:uid="{06463D3C-EEC1-40C9-A0F4-F74A11188C80}" name="SL 1 run" dataDxfId="540">
      <calculatedColumnFormula>_xlfn.XLOOKUP(Table126[[#This Row],[ACA Number]],Table121[ACA Number],Table121[Best 1 run SL race])</calculatedColumnFormula>
    </tableColumn>
    <tableColumn id="5" xr3:uid="{57A2578A-9B92-4DFB-9EB6-6C17297307CD}" name="GS 1 Run" dataDxfId="539">
      <calculatedColumnFormula>_xlfn.XLOOKUP(Table126[[#This Row],[ACA Number]],Table123[ACA Number],Table123[Best 1 Run])</calculatedColumnFormula>
    </tableColumn>
    <tableColumn id="6" xr3:uid="{BDFC33AE-761B-430F-9FFB-C3C3A3FD3B2C}" name="SG race" dataDxfId="538">
      <calculatedColumnFormula>_xlfn.XLOOKUP(Table126[[#This Row],[ACA Number]],Table122[ACA Number],Table122[Best 1 run GS Race])</calculatedColumnFormula>
    </tableColumn>
    <tableColumn id="7" xr3:uid="{23FFEA0F-6475-436B-8660-C7FBEF06F019}" name="Best SL race" dataDxfId="537">
      <calculatedColumnFormula>_xlfn.XLOOKUP(Table126[[#This Row],[ACA Number]],Table124[ACA Number],Table124[Best result],)</calculatedColumnFormula>
    </tableColumn>
    <tableColumn id="8" xr3:uid="{281100FE-B1BD-4E5E-AB39-1770D44C4F7B}" name="2nd Best SL race" dataDxfId="536">
      <calculatedColumnFormula>_xlfn.XLOOKUP(Table126[[#This Row],[ACA Number]],Table124[ACA Number],Table124[2nd Best Result])</calculatedColumnFormula>
    </tableColumn>
    <tableColumn id="9" xr3:uid="{422F33D6-2725-44F0-B399-006E0A8F6426}" name="Best GS race" dataDxfId="535">
      <calculatedColumnFormula>_xlfn.XLOOKUP(Table126[[#This Row],[ACA Number]],Table125[ACA Number],Table125[Best result])</calculatedColumnFormula>
    </tableColumn>
    <tableColumn id="10" xr3:uid="{BF26F883-1188-4E35-8EE2-CE10497C02CB}" name="2nd Best GS race" dataDxfId="534">
      <calculatedColumnFormula>_xlfn.XLOOKUP(Table126[[#This Row],[ACA Number]],Table125[ACA Number],Table125[2nd Best Result])</calculatedColumnFormula>
    </tableColumn>
    <tableColumn id="11" xr3:uid="{BF953E01-0941-4928-A9A3-4C512B7B0CF1}" name="Total Points" dataDxfId="533">
      <calculatedColumnFormula>SUM(AY3:BE3)</calculatedColumnFormula>
    </tableColumn>
    <tableColumn id="12" xr3:uid="{BB560535-8AFA-47B5-AE57-0FC9F56FD979}" name="Position" dataDxfId="532">
      <calculatedColumnFormula>_xlfn.RANK.EQ(Table126[[#This Row],[Total Points]],Table126[Total Points],1)</calculatedColumnFormula>
    </tableColumn>
  </tableColumns>
  <tableStyleInfo name="TableStyleMedium5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7" xr:uid="{23593871-1A75-41DC-B739-FB528CE9B30B}" name="Table121158" displayName="Table121158" ref="A2:J21" totalsRowShown="0">
  <autoFilter ref="A2:J21" xr:uid="{85C0A356-491F-445E-A4A9-9FE52FC76524}"/>
  <sortState xmlns:xlrd2="http://schemas.microsoft.com/office/spreadsheetml/2017/richdata2" ref="A3:J21">
    <sortCondition ref="J2:J21"/>
  </sortState>
  <tableColumns count="10">
    <tableColumn id="1" xr3:uid="{A0593D51-866E-4CCB-A68C-0EC6E786D23E}" name="ACA Number"/>
    <tableColumn id="2" xr3:uid="{1089C55D-FC5C-494C-AB71-1B70D10BC283}" name="name "/>
    <tableColumn id="3" xr3:uid="{2993E549-A0E3-49FA-AAC0-01161307AD7A}" name="Category"/>
    <tableColumn id="4" xr3:uid="{927D5ECB-3A0A-4ABD-8D91-2521D877376F}" name="PM SL1 R1" dataDxfId="531">
      <calculatedColumnFormula>_xlfn.XLOOKUP(Table121158[[#This Row],[ACA Number]],Table127[NAT Number],Table127[run 1 points])</calculatedColumnFormula>
    </tableColumn>
    <tableColumn id="5" xr3:uid="{ECC4FF8D-2B34-4133-B024-589011E282C8}" name="PM SL1 R2" dataDxfId="530">
      <calculatedColumnFormula>_xlfn.XLOOKUP(Table121158[[#This Row],[ACA Number]],Table127[NAT Number],Table127[run 2 points])</calculatedColumnFormula>
    </tableColumn>
    <tableColumn id="6" xr3:uid="{EED6800F-BCE8-448E-95EB-FAB8DC510570}" name="PM SL2 R1" dataDxfId="529">
      <calculatedColumnFormula>_xlfn.XLOOKUP(Table121158[[#This Row],[ACA Number]],Table12716[NAT Number],Table12716[run 1 points])</calculatedColumnFormula>
    </tableColumn>
    <tableColumn id="7" xr3:uid="{0B650AA2-83CB-433D-9F7B-B110C0CAF8DF}" name="PM SL2 R2" dataDxfId="528">
      <calculatedColumnFormula>_xlfn.XLOOKUP(Table121158[[#This Row],[ACA Number]],Table12716[NAT Number],Table12716[run 2 points])</calculatedColumnFormula>
    </tableColumn>
    <tableColumn id="8" xr3:uid="{C473C809-B9DE-40E5-97A9-33DCD5A1816D}" name="MF SL1 R1" dataDxfId="527">
      <calculatedColumnFormula>_xlfn.XLOOKUP(Table121158[[#This Row],[ACA Number]],Table12716313749617385[NAT Number],Table12716313749617385[run 1 points])</calculatedColumnFormula>
    </tableColumn>
    <tableColumn id="9" xr3:uid="{7B1B20BC-69F7-46B1-A73B-4373F9D3D4EE}" name="MF SL1 R2" dataDxfId="526">
      <calculatedColumnFormula>_xlfn.XLOOKUP(Table121158[[#This Row],[ACA Number]],Table12716313749617385[NAT Number],Table12716313749617385[run 2 points])</calculatedColumnFormula>
    </tableColumn>
    <tableColumn id="10" xr3:uid="{A8477415-9A5A-435C-8FFD-FF052EDA77D4}" name="Best 1 run SL race" dataDxfId="525">
      <calculatedColumnFormula array="1">_xlfn.LET(_xlpm.r,Table121158[[#This Row],[PM SL1 R1]:[MF SL1 R2]],_xlpm.m,_xlfn.AGGREGATE(15,6,_xlpm.r/(_xlpm.r&lt;&gt;999.99),1),IFERROR(_xlpm.m,999.99))</calculatedColumnFormula>
    </tableColumn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8" xr:uid="{95674EE8-825F-49B2-AD4E-497A87534EC9}" name="Table122159" displayName="Table122159" ref="L2:Q21" totalsRowShown="0">
  <autoFilter ref="L2:Q21" xr:uid="{E74D20A9-1825-4954-AAEF-2F934A165E42}"/>
  <tableColumns count="6">
    <tableColumn id="1" xr3:uid="{85FC6150-E2CE-4571-B809-049FDC921B35}" name="ACA Number"/>
    <tableColumn id="2" xr3:uid="{34B276B3-69AB-46E6-8F25-D6C30E94C5BC}" name="name "/>
    <tableColumn id="3" xr3:uid="{8657363F-8256-4B22-AAF6-67570E221DFF}" name="Category"/>
    <tableColumn id="4" xr3:uid="{E8804B90-4495-47D3-A721-945C940F6086}" name="CM SG R1" dataDxfId="524">
      <calculatedColumnFormula>_xlfn.XLOOKUP(Table122159[[#This Row],[ACA Number]],Table127163191[NAT Number],Table127163191[run 1 points])</calculatedColumnFormula>
    </tableColumn>
    <tableColumn id="5" xr3:uid="{FB895534-FE34-4D4B-8288-812C5B828A32}" name="CM SG R2" dataDxfId="523">
      <calculatedColumnFormula>_xlfn.XLOOKUP(Table122159[[#This Row],[ACA Number]],Table122110193494[NAT Number],Table122110193494[run 1 points])</calculatedColumnFormula>
    </tableColumn>
    <tableColumn id="6" xr3:uid="{7AB77028-2EA7-4C35-A702-F7DB4C69150F}" name="Best 1 run GS Race" dataDxfId="522">
      <calculatedColumnFormula array="1">_xlfn.LET(_xlpm.r,Table122159[[#This Row],[CM SG R1]:[CM SG R2]],_xlpm.m,_xlfn.AGGREGATE(15,6,_xlpm.r/(_xlpm.r&lt;&gt;999.99),1),IFERROR(_xlpm.m,999.99))</calculatedColumnFormula>
    </tableColumn>
  </tableColumns>
  <tableStyleInfo name="TableStyleMedium3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9" xr:uid="{9B7A5928-5755-4D6D-9AF1-CEC361CB8A70}" name="Table123160" displayName="Table123160" ref="S2:AB21" totalsRowShown="0">
  <autoFilter ref="S2:AB21" xr:uid="{7EB29342-CFCE-47CD-B3C4-FA634C2F4C22}"/>
  <tableColumns count="10">
    <tableColumn id="1" xr3:uid="{B00A07BA-D75B-4A40-B8F5-EA20389D5052}" name="ACA Number"/>
    <tableColumn id="2" xr3:uid="{09A4EBAD-E832-40CC-9FA4-B169AA80407B}" name="name "/>
    <tableColumn id="3" xr3:uid="{98B6E775-66FF-4625-9E1D-E325790DB44B}" name="Category"/>
    <tableColumn id="4" xr3:uid="{51A5DBD3-3A26-4897-A597-03A130EED18C}" name="CM GS1 R1" dataDxfId="521">
      <calculatedColumnFormula>_xlfn.XLOOKUP(Table123160[[#This Row],[ACA Number]],Table127163137496173[NAT Number],Table127163137496173[run 1 points])</calculatedColumnFormula>
    </tableColumn>
    <tableColumn id="5" xr3:uid="{F48FC453-8110-402D-8F8D-05BF28CFE294}" name="CM GS1 R2" dataDxfId="520">
      <calculatedColumnFormula>_xlfn.XLOOKUP(Table123160[[#This Row],[ACA Number]],Table127163137496173[NAT Number],Table127163137496173[run 2 points])</calculatedColumnFormula>
    </tableColumn>
    <tableColumn id="6" xr3:uid="{423F5FEF-6A35-4B9D-B462-266811BF3E42}" name="CM GS2 R1" dataDxfId="519">
      <calculatedColumnFormula>_xlfn.XLOOKUP(Table123160[[#This Row],[ACA Number]],Table127163137496173109[NAT Number],Table127163137496173109[run 1 points])</calculatedColumnFormula>
    </tableColumn>
    <tableColumn id="7" xr3:uid="{F7AEDFB0-2F6E-4105-B58D-F47827705BF4}" name="CM GS2 R2" dataDxfId="518">
      <calculatedColumnFormula>_xlfn.XLOOKUP(Table123160[[#This Row],[ACA Number]],Table127163137496173109[NAT Number],Table127163137496173109[run 2 points])</calculatedColumnFormula>
    </tableColumn>
    <tableColumn id="8" xr3:uid="{ED6F43F2-EF75-4F47-967A-B4256CB854D3}" name="MF GS R1" dataDxfId="517">
      <calculatedColumnFormula>_xlfn.XLOOKUP(Table123160[[#This Row],[ACA Number]],Table127163137496173109115[NAT Number],Table127163137496173109115[run 1 points])</calculatedColumnFormula>
    </tableColumn>
    <tableColumn id="9" xr3:uid="{22D6A011-A429-4A4A-BFDA-ECB6998B20BE}" name="MF GS R2" dataDxfId="516">
      <calculatedColumnFormula>_xlfn.XLOOKUP(Table123160[[#This Row],[ACA Number]],Table127163137496173109115[NAT Number],Table127163137496173109115[run 2 points])</calculatedColumnFormula>
    </tableColumn>
    <tableColumn id="10" xr3:uid="{9C0627D8-AB68-4E8E-8651-ADB229954164}" name="Best 1 Run" dataDxfId="515">
      <calculatedColumnFormula array="1">_xlfn.LET(_xlpm.r,Table123160[[#This Row],[CM GS1 R1]:[MF GS R2]],_xlpm.m,_xlfn.AGGREGATE(15,6,_xlpm.r/(_xlpm.r&lt;&gt;999.99),1),IFERROR(_xlpm.m,999.99))</calculatedColumnFormula>
    </tableColumn>
  </tableColumns>
  <tableStyleInfo name="TableStyleMedium4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0" xr:uid="{76139BDF-74F3-428F-BC7C-FC93A82B4105}" name="Table124161" displayName="Table124161" ref="AD2:AK21" totalsRowShown="0">
  <autoFilter ref="AD2:AK21" xr:uid="{D3734791-4308-4B60-9978-E73DE653AC01}"/>
  <tableColumns count="8">
    <tableColumn id="1" xr3:uid="{F19DDC2D-71C6-4A80-979E-67E3CA6E31C0}" name="ACA Number"/>
    <tableColumn id="2" xr3:uid="{B7729781-B8CF-493F-B4FA-02CC20EB0D74}" name="name "/>
    <tableColumn id="3" xr3:uid="{23D9346E-449A-4D82-B00C-019138CCAF9F}" name="Category"/>
    <tableColumn id="4" xr3:uid="{7F710D8B-D835-4D61-8B68-515E22B1C197}" name="PM SL1" dataDxfId="514">
      <calculatedColumnFormula>_xlfn.XLOOKUP(Table124161[[#This Row],[ACA Number]],Table127[NAT Number],Table127[TT race points])</calculatedColumnFormula>
    </tableColumn>
    <tableColumn id="5" xr3:uid="{632636BB-3379-408E-B9CB-84C903CB0EE7}" name="PM SL2" dataDxfId="513">
      <calculatedColumnFormula>_xlfn.XLOOKUP(Table124161[[#This Row],[ACA Number]],Table12716[NAT Number],Table12716[TT race points])</calculatedColumnFormula>
    </tableColumn>
    <tableColumn id="6" xr3:uid="{AEE37DE5-7271-4D5E-811B-8D2263852480}" name="MF SL" dataDxfId="512">
      <calculatedColumnFormula>_xlfn.XLOOKUP(Table124161[[#This Row],[ACA Number]],Table12716313749617385[NAT Number],Table12716313749617385[TT race points])</calculatedColumnFormula>
    </tableColumn>
    <tableColumn id="7" xr3:uid="{18916520-F9AE-47A4-BBF0-B90FAFA44DC0}" name="Best result" dataDxfId="511">
      <calculatedColumnFormula array="1">_xlfn.LET(_xlpm.r,Table124161[[#This Row],[PM SL1]:[MF SL]],_xlpm.m,_xlfn.AGGREGATE(15,6,_xlpm.r/(_xlpm.r&lt;&gt;999.99),1),IFERROR(_xlpm.m,999.99))</calculatedColumnFormula>
    </tableColumn>
    <tableColumn id="8" xr3:uid="{80908036-4BF4-42D8-ABB3-1DC05DEB5116}" name="2nd Best Result" dataDxfId="510">
      <calculatedColumnFormula array="1">_xlfn.LET(_xlpm.r,Table124161[[#This Row],[PM SL1]:[MF SL]],_xlpm.m,_xlfn.AGGREGATE(15,6,_xlpm.r/(_xlpm.r&lt;&gt;999.99),2),IFERROR(_xlpm.m,999.99))</calculatedColumnFormula>
    </tableColumn>
  </tableColumns>
  <tableStyleInfo name="TableStyleMedium2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1" xr:uid="{2C736B83-7707-4711-85F2-9DB38080FD9B}" name="Table125162" displayName="Table125162" ref="AM2:AT21" totalsRowShown="0">
  <autoFilter ref="AM2:AT21" xr:uid="{043FEDCE-DECA-4CD2-98DF-9938874C3A11}"/>
  <tableColumns count="8">
    <tableColumn id="1" xr3:uid="{0D4B78C2-E1E4-4036-99C1-053BD23A9406}" name="ACA Number"/>
    <tableColumn id="2" xr3:uid="{86DAC7A5-359F-4A4C-8BBA-EDA7D098E464}" name="name "/>
    <tableColumn id="3" xr3:uid="{93386407-74D9-4925-8B2E-3672A58BBF5F}" name="Category"/>
    <tableColumn id="4" xr3:uid="{C1991EE9-CF9D-42E0-8483-2B4C32DDEADC}" name="CM GS1" dataDxfId="509">
      <calculatedColumnFormula>_xlfn.XLOOKUP(Table125162[[#This Row],[ACA Number]],Table127163137496173[NAT Number],Table127163137496173[TT race points])</calculatedColumnFormula>
    </tableColumn>
    <tableColumn id="5" xr3:uid="{F9C6BD3A-4FA5-43F3-9003-337C54164867}" name="CM GS2" dataDxfId="508">
      <calculatedColumnFormula>_xlfn.XLOOKUP(Table125162[[#This Row],[ACA Number]],Table127163137496173109[NAT Number],Table127163137496173109[TT race points])</calculatedColumnFormula>
    </tableColumn>
    <tableColumn id="6" xr3:uid="{3085AD32-2D97-4866-9826-065550351B49}" name="MF GS" dataDxfId="507">
      <calculatedColumnFormula>_xlfn.XLOOKUP(Table125162[[#This Row],[ACA Number]],Table127163137496173109115[NAT Number],Table127163137496173109115[TT race points])</calculatedColumnFormula>
    </tableColumn>
    <tableColumn id="7" xr3:uid="{F77EB1BD-A7CA-48FE-A755-314751F7DF0C}" name="Best result" dataDxfId="506">
      <calculatedColumnFormula array="1">_xlfn.LET(_xlpm.r,Table125162[[#This Row],[CM GS1]:[MF GS]],_xlpm.m,_xlfn.AGGREGATE(15,6,_xlpm.r/(_xlpm.r&lt;&gt;999.99),1),IFERROR(_xlpm.m,999.99))</calculatedColumnFormula>
    </tableColumn>
    <tableColumn id="8" xr3:uid="{B261E400-36BD-4151-A090-2F5AB5B4DAA7}" name="2nd Best Result" dataDxfId="505">
      <calculatedColumnFormula array="1">_xlfn.LET(_xlpm.r,Table125162[[#This Row],[CM GS1]:[MF GS]],_xlpm.m,_xlfn.AGGREGATE(15,6,_xlpm.r/(_xlpm.r&lt;&gt;999.99),2),IFERROR(_xlpm.m,999.99))</calculatedColumnFormula>
    </tableColumn>
  </tableColumns>
  <tableStyleInfo name="TableStyleMedium4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2" xr:uid="{A9F8E4AC-8F47-46EF-916E-F40CD74686A1}" name="Table126163" displayName="Table126163" ref="AV2:BG21" totalsRowShown="0">
  <autoFilter ref="AV2:BG21" xr:uid="{5869560C-5090-4E74-ACA4-FC05EEFA980A}"/>
  <sortState xmlns:xlrd2="http://schemas.microsoft.com/office/spreadsheetml/2017/richdata2" ref="AV3:BG21">
    <sortCondition ref="BG2:BG21"/>
  </sortState>
  <tableColumns count="12">
    <tableColumn id="1" xr3:uid="{6E2D8851-6BA6-4692-A317-5866277EAFCF}" name="ACA Number"/>
    <tableColumn id="2" xr3:uid="{92B56215-62D8-496C-9FA2-B53FD894E8B1}" name="name "/>
    <tableColumn id="3" xr3:uid="{2090CC11-3CC0-4C23-AF26-C4E7CD3C523A}" name="Category"/>
    <tableColumn id="4" xr3:uid="{57641B54-6D36-45F1-A875-BA6A19A68092}" name="SL 1 run" dataDxfId="504">
      <calculatedColumnFormula>_xlfn.XLOOKUP(Table126163[[#This Row],[ACA Number]],Table121158[ACA Number],Table121158[Best 1 run SL race])</calculatedColumnFormula>
    </tableColumn>
    <tableColumn id="5" xr3:uid="{39BA284E-16EF-4E7C-ADE1-2E4361A16B69}" name="GS 1 Run" dataDxfId="503">
      <calculatedColumnFormula>_xlfn.XLOOKUP(Table126163[[#This Row],[ACA Number]],Table123160[ACA Number],Table123160[Best 1 Run])</calculatedColumnFormula>
    </tableColumn>
    <tableColumn id="6" xr3:uid="{2E022333-E5B1-4E88-8098-51FBC07E8339}" name="SG race" dataDxfId="502">
      <calculatedColumnFormula>_xlfn.XLOOKUP(Table126163[[#This Row],[ACA Number]],Table122159[ACA Number],Table122159[Best 1 run GS Race])</calculatedColumnFormula>
    </tableColumn>
    <tableColumn id="7" xr3:uid="{9F8FBF40-E02E-478B-A59F-7F64E639B43F}" name="Best SL race" dataDxfId="501">
      <calculatedColumnFormula>_xlfn.XLOOKUP(Table126163[[#This Row],[ACA Number]],Table124161[ACA Number],Table124161[Best result],)</calculatedColumnFormula>
    </tableColumn>
    <tableColumn id="8" xr3:uid="{40067B9A-07EC-4540-947B-FDCF3DD97535}" name="2nd Best SL race" dataDxfId="500">
      <calculatedColumnFormula>_xlfn.XLOOKUP(Table126163[[#This Row],[ACA Number]],Table124161[ACA Number],Table124161[2nd Best Result])</calculatedColumnFormula>
    </tableColumn>
    <tableColumn id="9" xr3:uid="{439DDE34-0ACC-4EEA-BAE4-2C0DCF296D7F}" name="Best GS race" dataDxfId="499">
      <calculatedColumnFormula>_xlfn.XLOOKUP(Table126163[[#This Row],[ACA Number]],Table125162[ACA Number],Table125162[Best result])</calculatedColumnFormula>
    </tableColumn>
    <tableColumn id="10" xr3:uid="{D328F2C0-2955-4DDA-8E7A-CFAEBE7B0975}" name="2nd Best GS race" dataDxfId="498">
      <calculatedColumnFormula>_xlfn.XLOOKUP(Table126163[[#This Row],[ACA Number]],Table125162[ACA Number],Table125162[2nd Best Result])</calculatedColumnFormula>
    </tableColumn>
    <tableColumn id="11" xr3:uid="{1AF8DE37-765E-4B27-9FC3-47D2E18B9FCB}" name="Total Points" dataDxfId="497">
      <calculatedColumnFormula>SUM(AY3:BE3)</calculatedColumnFormula>
    </tableColumn>
    <tableColumn id="12" xr3:uid="{48A8AFF8-0DBF-4CDA-8E8D-F77C2BEDE6B0}" name="Position" dataDxfId="496">
      <calculatedColumnFormula>_xlfn.RANK.EQ(Table126163[[#This Row],[Total Points]],Table126163[Total Points],1)</calculatedColumnFormula>
    </tableColumn>
  </tableColumns>
  <tableStyleInfo name="TableStyleMedium5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3" xr:uid="{7EA56DCE-EEA6-4A24-898A-B25E2FFA266F}" name="Table121158164" displayName="Table121158164" ref="A2:J15" totalsRowShown="0">
  <autoFilter ref="A2:J15" xr:uid="{85C0A356-491F-445E-A4A9-9FE52FC76524}"/>
  <sortState xmlns:xlrd2="http://schemas.microsoft.com/office/spreadsheetml/2017/richdata2" ref="A3:J12">
    <sortCondition ref="J2:J12"/>
  </sortState>
  <tableColumns count="10">
    <tableColumn id="1" xr3:uid="{87ABCB5B-9D99-4642-9991-8872227C31CC}" name="ACA Number"/>
    <tableColumn id="2" xr3:uid="{31D73716-343C-4C72-8010-59A02A38C442}" name="name "/>
    <tableColumn id="3" xr3:uid="{05DFEF3C-6918-4717-AC6E-3B6301D287C5}" name="Category"/>
    <tableColumn id="4" xr3:uid="{1D91ACE8-62E3-4356-90C5-14FCDF75B7E3}" name="PM SL1 R1" dataDxfId="495">
      <calculatedColumnFormula>_xlfn.XLOOKUP(Table121158164[[#This Row],[ACA Number]],Table1221[NAT Number],Table1221[run 1 points])</calculatedColumnFormula>
    </tableColumn>
    <tableColumn id="5" xr3:uid="{4FE20DFC-BFA2-4F99-BBC6-E076FE27F846}" name="PM SL1 R2" dataDxfId="494">
      <calculatedColumnFormula>_xlfn.XLOOKUP(Table121158164[[#This Row],[ACA Number]],Table1221[NAT Number],Table1221[run 2 points])</calculatedColumnFormula>
    </tableColumn>
    <tableColumn id="6" xr3:uid="{9AD744A3-7078-4E55-A7C6-DCAC4B1CA775}" name="PM SL2 R1" dataDxfId="493">
      <calculatedColumnFormula>_xlfn.XLOOKUP(Table121158164[[#This Row],[ACA Number]],Table122128[NAT Number],Table122128[run 1 points])</calculatedColumnFormula>
    </tableColumn>
    <tableColumn id="7" xr3:uid="{8A48F009-2025-4A49-A30D-1AE89EF1B274}" name="PM SL2 R2" dataDxfId="492">
      <calculatedColumnFormula>_xlfn.XLOOKUP(Table121158164[[#This Row],[ACA Number]],Table122128[NAT Number],Table122128[run 2 points])</calculatedColumnFormula>
    </tableColumn>
    <tableColumn id="8" xr3:uid="{9CE6DEF8-1409-427D-97B1-6CFD51932AE7}" name="MF SL1 R1" dataDxfId="491">
      <calculatedColumnFormula>_xlfn.XLOOKUP(Table121158164[[#This Row],[ACA Number]],Table122110193446587082[NAT Number],Table122110193446587082[run 1 points])</calculatedColumnFormula>
    </tableColumn>
    <tableColumn id="9" xr3:uid="{590D3D7C-25F4-4C85-A2A6-910457F8F38F}" name="MF SL1 R2" dataDxfId="490">
      <calculatedColumnFormula>_xlfn.XLOOKUP(Table121158164[[#This Row],[ACA Number]],Table122110193446587082[NAT Number],Table122110193446587082[run 2 points])</calculatedColumnFormula>
    </tableColumn>
    <tableColumn id="10" xr3:uid="{3462F7CF-89D1-4938-82F4-924900C75E60}" name="Best 1 run SL race" dataDxfId="489">
      <calculatedColumnFormula array="1">_xlfn.LET(_xlpm.r,Table121158164[[#This Row],[PM SL1 R1]:[MF SL1 R2]],_xlpm.m,_xlfn.AGGREGATE(15,6,_xlpm.r/(_xlpm.r&lt;&gt;999.99),1),IFERROR(_xlpm.m,999.99))</calculatedColumnFormula>
    </tableColumn>
  </tableColumns>
  <tableStyleInfo name="TableStyleMedium2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4" xr:uid="{CBE21DD5-34A2-4633-8422-8BA8A522138A}" name="Table122159165" displayName="Table122159165" ref="L2:Q15" totalsRowShown="0">
  <autoFilter ref="L2:Q15" xr:uid="{E74D20A9-1825-4954-AAEF-2F934A165E42}"/>
  <tableColumns count="6">
    <tableColumn id="1" xr3:uid="{288FCF41-AB5B-4A4D-B6D3-35C2832BE695}" name="ACA Number"/>
    <tableColumn id="2" xr3:uid="{961AE29E-EBBA-4E00-804A-C567C1A4C118}" name="name "/>
    <tableColumn id="3" xr3:uid="{FCDD8409-131C-4741-95EF-BFB4EB33FD0A}" name="Category"/>
    <tableColumn id="4" xr3:uid="{C567BD69-E798-4311-BA49-9AAA8336E307}" name="CM SG R1" dataDxfId="488">
      <calculatedColumnFormula>_xlfn.XLOOKUP(Table122159165[[#This Row],[ACA Number]],Table1271631[NAT Number],Table1271631[run 1 points])</calculatedColumnFormula>
    </tableColumn>
    <tableColumn id="5" xr3:uid="{A044DFCE-C569-47DB-9FE6-0BCD23FD7FD5}" name="CM SG R2" dataDxfId="487">
      <calculatedColumnFormula>_xlfn.XLOOKUP(Table122159165[[#This Row],[ACA Number]],Table1221101934[NAT Number],Table1221101934[run 1 points])</calculatedColumnFormula>
    </tableColumn>
    <tableColumn id="6" xr3:uid="{D0EFF776-9C5B-49B4-BD6F-6D5F3094577A}" name="Best 1 run GS Race" dataDxfId="486">
      <calculatedColumnFormula array="1">_xlfn.LET(_xlpm.r,Table122159165[[#This Row],[CM SG R1]:[CM SG R2]],_xlpm.m,_xlfn.AGGREGATE(15,6,_xlpm.r/(_xlpm.r&lt;&gt;999.99),1),IFERROR(_xlpm.m,999.99))</calculatedColumnFormula>
    </tableColumn>
  </tableColumns>
  <tableStyleInfo name="TableStyleMedium3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5" xr:uid="{C93D3FC3-D833-44E5-A278-9F4CD41FD74E}" name="Table123160166" displayName="Table123160166" ref="S2:AB15" totalsRowShown="0">
  <autoFilter ref="S2:AB15" xr:uid="{7EB29342-CFCE-47CD-B3C4-FA634C2F4C22}"/>
  <tableColumns count="10">
    <tableColumn id="1" xr3:uid="{777C6FBA-43A0-4164-A603-A4853A0833B8}" name="ACA Number"/>
    <tableColumn id="2" xr3:uid="{A88B43C1-59AA-401E-8207-FA9D4FF55115}" name="name "/>
    <tableColumn id="3" xr3:uid="{0627BFDD-DB4E-44C1-AC15-17B1D8E72DC8}" name="Category"/>
    <tableColumn id="4" xr3:uid="{BD3ED7D7-AC41-4914-BE73-A6DD974B481F}" name="CM GS1 R1" dataDxfId="485">
      <calculatedColumnFormula>_xlfn.XLOOKUP(Table123160166[[#This Row],[ACA Number]],Table1221101934465870100106[NAT Number],Table1221101934465870100106[run 1 points])</calculatedColumnFormula>
    </tableColumn>
    <tableColumn id="5" xr3:uid="{8E93533B-BCA0-4AB2-AC85-AAD76F85FF0C}" name="CM GS1 R2" dataDxfId="484">
      <calculatedColumnFormula>_xlfn.XLOOKUP(Table123160166[[#This Row],[ACA Number]],Table1221101934465870100106[NAT Number],Table1221101934465870100106[run 2 points])</calculatedColumnFormula>
    </tableColumn>
    <tableColumn id="6" xr3:uid="{2C861BA3-C531-4A7A-AB3B-FA16C5A2AFCC}" name="CM GS2 R1" dataDxfId="483">
      <calculatedColumnFormula>_xlfn.XLOOKUP(Table123160166[[#This Row],[ACA Number]],Table1221101934465870100[NAT Number],Table1221101934465870100[run 1 points])</calculatedColumnFormula>
    </tableColumn>
    <tableColumn id="7" xr3:uid="{C1F52FD9-D681-49FB-AC90-6D9686ED7F8B}" name="CM GS2 R2" dataDxfId="482">
      <calculatedColumnFormula>_xlfn.XLOOKUP(Table123160166[[#This Row],[ACA Number]],Table1221101934465870100[NAT Number],Table1221101934465870100[run 2 points])</calculatedColumnFormula>
    </tableColumn>
    <tableColumn id="8" xr3:uid="{E0166412-BC43-41DC-A501-49E0BC1C486B}" name="MF GS R1" dataDxfId="481">
      <calculatedColumnFormula>_xlfn.XLOOKUP(Table123160166[[#This Row],[ACA Number]],Table1221101934465870[NAT Number],Table1221101934465870[run 1 points])</calculatedColumnFormula>
    </tableColumn>
    <tableColumn id="9" xr3:uid="{C3FCD77A-7FB5-49A3-B35F-92369E9AFB0F}" name="MF GS R2" dataDxfId="480">
      <calculatedColumnFormula>_xlfn.XLOOKUP(Table123160166[[#This Row],[ACA Number]],Table1221101934465870[NAT Number],Table1221101934465870[run 2 points])</calculatedColumnFormula>
    </tableColumn>
    <tableColumn id="10" xr3:uid="{01F4D470-70F5-4BFF-AFC2-F048C1047E88}" name="Best 1 Run" dataDxfId="479">
      <calculatedColumnFormula array="1">_xlfn.LET(_xlpm.r,Table123160166[[#This Row],[CM GS1 R1]:[MF GS R2]],_xlpm.m,_xlfn.AGGREGATE(15,6,_xlpm.r/(_xlpm.r&lt;&gt;999.99),1),IFERROR(_xlpm.m,999.99))</calculatedColumnFormula>
    </tableColumn>
  </tableColumns>
  <tableStyleInfo name="TableStyleMedium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3BD82A5-8F93-4724-86CF-AF12EFC0FC3B}" name="Table4" displayName="Table4" ref="A1:W56" totalsRowShown="0">
  <autoFilter ref="A1:W56" xr:uid="{E3BD82A5-8F93-4724-86CF-AF12EFC0FC3B}"/>
  <sortState xmlns:xlrd2="http://schemas.microsoft.com/office/spreadsheetml/2017/richdata2" ref="A2:W56">
    <sortCondition ref="G1:G56"/>
  </sortState>
  <tableColumns count="23">
    <tableColumn id="1" xr3:uid="{42375917-1BE4-4E7D-82A7-E11E8F14B820}" name="Card"/>
    <tableColumn id="21" xr3:uid="{F43ED0DF-D29B-41D9-91C9-631B925373CA}" name="Column1" dataDxfId="637">
      <calculatedColumnFormula>CONCATENATE(Table4[[#This Row],[Fname]]," ",Table4[[#This Row],[Lname]])</calculatedColumnFormula>
    </tableColumn>
    <tableColumn id="22" xr3:uid="{6DBCCFF0-0888-49CF-9B1C-44D973A3890F}" name="Column2" dataDxfId="636">
      <calculatedColumnFormula>CONCATENATE(Table4[[#This Row],[Sex]],"-",Table4[[#This Row],[Column3]])</calculatedColumnFormula>
    </tableColumn>
    <tableColumn id="2" xr3:uid="{B87ECA34-24DF-4ED6-9303-58D09A350C95}" name="Fname"/>
    <tableColumn id="3" xr3:uid="{2148148B-FFF3-465C-95E6-6E285972EE45}" name="Lname"/>
    <tableColumn id="4" xr3:uid="{C8D38C0C-8BDF-4757-8B82-19CD8029732C}" name="YOB"/>
    <tableColumn id="23" xr3:uid="{C782B72C-5DE6-418E-BD94-C5D525E69EF6}" name="Column3" dataDxfId="635">
      <calculatedColumnFormula>_xlfn.XLOOKUP(Table4[[#This Row],[YOB]],Table5[YOB],Table5[Category])</calculatedColumnFormula>
    </tableColumn>
    <tableColumn id="5" xr3:uid="{36E28BAA-0B0F-417C-8ECD-81193CC461E9}" name="Sex"/>
    <tableColumn id="6" xr3:uid="{AE31FF3D-C77C-4483-9970-ABBAC5391EA8}" name="clubName"/>
    <tableColumn id="7" xr3:uid="{C562D67A-F168-4A1F-AD2C-92FB71BB0F5F}" name="clubAbr"/>
    <tableColumn id="8" xr3:uid="{E8E25213-9B20-44EE-B440-CB0FC528ACE2}" name="PTSOAbr"/>
    <tableColumn id="9" xr3:uid="{01ECE9FF-00C1-4D06-9ED1-55AAA0FB5290}" name="PTSOName"/>
    <tableColumn id="10" xr3:uid="{4B00A210-A3F1-45E1-9CC3-272232939627}" name="PTSONameFull"/>
    <tableColumn id="11" xr3:uid="{EE1A81B8-9C05-42DE-886C-4DBA054D473B}" name="prov"/>
    <tableColumn id="12" xr3:uid="{AD4416F6-A1F6-46A6-AD50-D9452057E45E}" name="categoryName"/>
    <tableColumn id="13" xr3:uid="{037CD0B3-13F1-4FEF-92A7-FFF738E601CF}" name="categoryShortName"/>
    <tableColumn id="14" xr3:uid="{2AD8F445-C983-4713-B289-D58072B16FCE}" name="compCard"/>
    <tableColumn id="15" xr3:uid="{F48AC40F-DAE4-4DAD-8E96-5E1C29388803}" name="currentList"/>
    <tableColumn id="16" xr3:uid="{8CE91DAF-0970-46C9-994E-798D9A69C338}" name="SL"/>
    <tableColumn id="17" xr3:uid="{A5CE8623-75B4-44BC-B794-3E33ED3D402A}" name="GS"/>
    <tableColumn id="18" xr3:uid="{CF05395D-E6ED-4C03-8669-44BABBC7DBF2}" name="SG"/>
    <tableColumn id="19" xr3:uid="{2118439B-CCC4-4511-90C2-78E9A6797D73}" name="DH"/>
    <tableColumn id="20" xr3:uid="{62620B7C-009F-441F-9DB2-63C4D7570DEE}" name="AC"/>
  </tableColumns>
  <tableStyleInfo name="TableStyleMedium2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6" xr:uid="{92DF7088-DFD3-4503-96AC-2699B625934F}" name="Table124161167" displayName="Table124161167" ref="AD2:AK15" totalsRowShown="0">
  <autoFilter ref="AD2:AK15" xr:uid="{D3734791-4308-4B60-9978-E73DE653AC01}"/>
  <tableColumns count="8">
    <tableColumn id="1" xr3:uid="{B9FFD21D-70DE-4DD6-8E3C-396876EB1BA5}" name="ACA Number"/>
    <tableColumn id="2" xr3:uid="{F675938B-943F-4050-9ACE-5CB441B2C273}" name="name "/>
    <tableColumn id="3" xr3:uid="{E4EFB91C-75D3-4AAE-BEC0-B6D8C3735854}" name="Category"/>
    <tableColumn id="4" xr3:uid="{9741EB41-5972-48C4-81F5-E3F89ED33E8B}" name="PM SL1" dataDxfId="478">
      <calculatedColumnFormula>_xlfn.XLOOKUP(Table124161167[[#This Row],[ACA Number]],Table1221[NAT Number],Table1221[TT race points])</calculatedColumnFormula>
    </tableColumn>
    <tableColumn id="5" xr3:uid="{E380B284-DFAE-4833-9969-E048C885B284}" name="PM SL2" dataDxfId="477">
      <calculatedColumnFormula>_xlfn.XLOOKUP(Table124161167[[#This Row],[ACA Number]],Table122128[NAT Number],Table122128[TT race points])</calculatedColumnFormula>
    </tableColumn>
    <tableColumn id="6" xr3:uid="{2AACD4F1-03B9-46B1-81E5-FA9E70A7CE6D}" name="MF SL" dataDxfId="476">
      <calculatedColumnFormula>_xlfn.XLOOKUP(Table124161167[[#This Row],[ACA Number]],Table122110193446587082[NAT Number],Table122110193446587082[TT race points])</calculatedColumnFormula>
    </tableColumn>
    <tableColumn id="7" xr3:uid="{28627145-5EFD-4B21-BA8C-4E913E076511}" name="Best result" dataDxfId="475">
      <calculatedColumnFormula array="1">_xlfn.LET(_xlpm.r,Table124161167[[#This Row],[PM SL1]:[MF SL]],_xlpm.m,_xlfn.AGGREGATE(15,6,_xlpm.r/(_xlpm.r&lt;&gt;999.99),1),IFERROR(_xlpm.m,999.99))</calculatedColumnFormula>
    </tableColumn>
    <tableColumn id="8" xr3:uid="{06921C5F-BBBF-459F-8F20-8BA564C5E560}" name="2nd Best Result" dataDxfId="474">
      <calculatedColumnFormula array="1">_xlfn.LET(_xlpm.r,Table124161167[[#This Row],[PM SL1]:[MF SL]],_xlpm.m,_xlfn.AGGREGATE(15,6,_xlpm.r/(_xlpm.r&lt;&gt;999.99),2),IFERROR(_xlpm.m,999.99))</calculatedColumnFormula>
    </tableColumn>
  </tableColumns>
  <tableStyleInfo name="TableStyleMedium2"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7" xr:uid="{0CB95BBB-5582-4738-AE01-4FC794B2FB94}" name="Table125162168" displayName="Table125162168" ref="AM2:AT15" totalsRowShown="0">
  <autoFilter ref="AM2:AT15" xr:uid="{043FEDCE-DECA-4CD2-98DF-9938874C3A11}"/>
  <tableColumns count="8">
    <tableColumn id="1" xr3:uid="{A436CDCB-C4AE-4DF7-9B8D-9F74B241383B}" name="ACA Number"/>
    <tableColumn id="2" xr3:uid="{CF19AF04-A599-4CB5-9021-EE618D268E7C}" name="name "/>
    <tableColumn id="3" xr3:uid="{AC0D7AB4-EB44-473D-AF5F-725FA94EEDEA}" name="Category"/>
    <tableColumn id="4" xr3:uid="{569D260E-312A-4B19-B0DF-00C15F46F7CB}" name="CM GS1" dataDxfId="473">
      <calculatedColumnFormula>_xlfn.XLOOKUP(Table125162168[[#This Row],[ACA Number]],Table1221101934465870100106[NAT Number],Table1221101934465870100106[TT race points])</calculatedColumnFormula>
    </tableColumn>
    <tableColumn id="5" xr3:uid="{0BEA115B-2A87-4F6D-9B2D-C779C98584F5}" name="CM GS2" dataDxfId="472">
      <calculatedColumnFormula>_xlfn.XLOOKUP(Table125162168[[#This Row],[ACA Number]],Table1221101934465870100[NAT Number],Table1221101934465870100[TT race points])</calculatedColumnFormula>
    </tableColumn>
    <tableColumn id="6" xr3:uid="{AE796032-000E-4BC5-94C1-EE22B13F7B54}" name="MF GS" dataDxfId="471">
      <calculatedColumnFormula>_xlfn.XLOOKUP(Table125162168[[#This Row],[ACA Number]],Table1221101934465870[NAT Number],Table1221101934465870[TT race points])</calculatedColumnFormula>
    </tableColumn>
    <tableColumn id="7" xr3:uid="{092A1FD4-45A0-44AC-9436-6E070071C3B5}" name="Best result" dataDxfId="470">
      <calculatedColumnFormula array="1">_xlfn.LET(_xlpm.r,Table125162168[[#This Row],[CM GS1]:[MF GS]],_xlpm.m,_xlfn.AGGREGATE(15,6,_xlpm.r/(_xlpm.r&lt;&gt;999.99),1),IFERROR(_xlpm.m,999.99))</calculatedColumnFormula>
    </tableColumn>
    <tableColumn id="8" xr3:uid="{3D53BF80-EC6C-4346-BE19-68AE5E3E16CA}" name="2nd Best Result" dataDxfId="469">
      <calculatedColumnFormula array="1">_xlfn.LET(_xlpm.r,Table125162168[[#This Row],[CM GS1]:[MF GS]],_xlpm.m,_xlfn.AGGREGATE(15,6,_xlpm.r/(_xlpm.r&lt;&gt;999.99),2),IFERROR(_xlpm.m,999.99))</calculatedColumnFormula>
    </tableColumn>
  </tableColumns>
  <tableStyleInfo name="TableStyleMedium4"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8" xr:uid="{AFA7399D-8F23-4E92-A8A2-4C100AC7C44F}" name="Table126163169" displayName="Table126163169" ref="AV2:BG15" totalsRowShown="0">
  <autoFilter ref="AV2:BG15" xr:uid="{5869560C-5090-4E74-ACA4-FC05EEFA980A}"/>
  <sortState xmlns:xlrd2="http://schemas.microsoft.com/office/spreadsheetml/2017/richdata2" ref="AV3:BG15">
    <sortCondition ref="BG2:BG15"/>
  </sortState>
  <tableColumns count="12">
    <tableColumn id="1" xr3:uid="{D70CE7FF-B781-4AAC-ADFE-3CDF141CCE3E}" name="ACA Number"/>
    <tableColumn id="2" xr3:uid="{B3756D0D-6EDE-44A7-BE1B-7FD13929ABCC}" name="name "/>
    <tableColumn id="3" xr3:uid="{AEE76092-64D0-45EA-AE8B-84644830F54D}" name="Category"/>
    <tableColumn id="4" xr3:uid="{EB609DFB-AE32-41B8-8335-82252A08C593}" name="SL 1 run" dataDxfId="468">
      <calculatedColumnFormula>_xlfn.XLOOKUP(Table126163169[[#This Row],[ACA Number]],Table121158164[ACA Number],Table121158164[Best 1 run SL race])</calculatedColumnFormula>
    </tableColumn>
    <tableColumn id="5" xr3:uid="{0126CEF5-CDE0-4469-95C5-D6AD9EC070FD}" name="GS 1 Run" dataDxfId="467">
      <calculatedColumnFormula>_xlfn.XLOOKUP(Table126163169[[#This Row],[ACA Number]],Table123160166[ACA Number],Table123160166[Best 1 Run])</calculatedColumnFormula>
    </tableColumn>
    <tableColumn id="6" xr3:uid="{77321964-492D-46E4-B352-6B5D23C5FEF0}" name="SG race" dataDxfId="466">
      <calculatedColumnFormula>_xlfn.XLOOKUP(Table126163169[[#This Row],[ACA Number]],Table122159165[ACA Number],Table122159165[Best 1 run GS Race])</calculatedColumnFormula>
    </tableColumn>
    <tableColumn id="7" xr3:uid="{DE5196BA-1339-4322-9F5D-98FAD2047CD4}" name="Best SL race" dataDxfId="465">
      <calculatedColumnFormula>_xlfn.XLOOKUP(Table126163169[[#This Row],[ACA Number]],Table124161167[ACA Number],Table124161167[Best result],)</calculatedColumnFormula>
    </tableColumn>
    <tableColumn id="8" xr3:uid="{C90830E0-A4B9-4C99-B886-7E397B1CA861}" name="2nd Best SL race" dataDxfId="464">
      <calculatedColumnFormula>_xlfn.XLOOKUP(Table126163169[[#This Row],[ACA Number]],Table124161167[ACA Number],Table124161167[2nd Best Result])</calculatedColumnFormula>
    </tableColumn>
    <tableColumn id="9" xr3:uid="{1E34DB0E-BC7C-405C-A70A-244EEC8A2F63}" name="Best GS race" dataDxfId="463">
      <calculatedColumnFormula>_xlfn.XLOOKUP(Table126163169[[#This Row],[ACA Number]],Table125162168[ACA Number],Table125162168[Best result])</calculatedColumnFormula>
    </tableColumn>
    <tableColumn id="10" xr3:uid="{29DD5B8B-F23F-49A2-B81C-6DEBBA05C3FF}" name="2nd Best GS race" dataDxfId="462">
      <calculatedColumnFormula>_xlfn.XLOOKUP(Table126163169[[#This Row],[ACA Number]],Table125162168[ACA Number],Table125162168[2nd Best Result])</calculatedColumnFormula>
    </tableColumn>
    <tableColumn id="11" xr3:uid="{C87CE8B3-920D-4087-AF4E-1E19B92433C0}" name="Total Points" dataDxfId="461">
      <calculatedColumnFormula>SUM(AY3:BE3)</calculatedColumnFormula>
    </tableColumn>
    <tableColumn id="12" xr3:uid="{9E95387B-C5A5-4C75-8DE2-F8589B5F555F}" name="Position" dataDxfId="460">
      <calculatedColumnFormula>_xlfn.RANK.EQ(Table126163169[[#This Row],[Total Points]],Table126163169[Total Points],1)</calculatedColumnFormula>
    </tableColumn>
  </tableColumns>
  <tableStyleInfo name="TableStyleMedium5"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9" xr:uid="{846D84BC-DF5C-45C6-A542-B9B3F35ABD9B}" name="Table121158164170" displayName="Table121158164170" ref="A2:J16" totalsRowShown="0">
  <autoFilter ref="A2:J16" xr:uid="{85C0A356-491F-445E-A4A9-9FE52FC76524}"/>
  <sortState xmlns:xlrd2="http://schemas.microsoft.com/office/spreadsheetml/2017/richdata2" ref="A3:J15">
    <sortCondition ref="J2:J15"/>
  </sortState>
  <tableColumns count="10">
    <tableColumn id="1" xr3:uid="{30CCC689-0711-42AA-9191-381F7531AC2A}" name="ACA Number"/>
    <tableColumn id="2" xr3:uid="{92E41133-F076-4AE9-A450-0A6FC5DF64D9}" name="name "/>
    <tableColumn id="3" xr3:uid="{8310BB4D-68A9-424A-8BE1-0D048C31E9B7}" name="Category"/>
    <tableColumn id="4" xr3:uid="{59B0C879-6626-4287-B2FA-D01A9301B38C}" name="PM SL1 R1" dataDxfId="459">
      <calculatedColumnFormula>_xlfn.XLOOKUP(Table121158164170[[#This Row],[ACA Number]],Table122110[NAT Number],Table122110[run 1 points])</calculatedColumnFormula>
    </tableColumn>
    <tableColumn id="5" xr3:uid="{457D080A-2FB9-4032-ACF1-C924BBE8EE44}" name="PM SL1 R2" dataDxfId="458">
      <calculatedColumnFormula>_xlfn.XLOOKUP(Table121158164170[[#This Row],[ACA Number]],Table122110[NAT Number],Table122110[run 2 points])</calculatedColumnFormula>
    </tableColumn>
    <tableColumn id="6" xr3:uid="{7988FAAB-D9EA-4D80-9846-F757AFF00F60}" name="PM SL2 R1" dataDxfId="457">
      <calculatedColumnFormula>_xlfn.XLOOKUP(Table121158164170[[#This Row],[ACA Number]],Table12211019[NAT Number],Table12211019[run 2 points])</calculatedColumnFormula>
    </tableColumn>
    <tableColumn id="7" xr3:uid="{4109706B-F593-4679-838F-AD184182861A}" name="PM SL2 R2" dataDxfId="456">
      <calculatedColumnFormula>_xlfn.XLOOKUP(Table121158164170[[#This Row],[ACA Number]],Table12211019[NAT Number],Table12211019[run 2 points])</calculatedColumnFormula>
    </tableColumn>
    <tableColumn id="8" xr3:uid="{799313BD-4187-4A00-8FE4-E28E34DAFFA3}" name="MF SL1 R1" dataDxfId="455">
      <calculatedColumnFormula>_xlfn.XLOOKUP(Table121158164170[[#This Row],[ACA Number]],Table12211019344052647688[NAT Number],Table12211019344052647688[run 1 points])</calculatedColumnFormula>
    </tableColumn>
    <tableColumn id="9" xr3:uid="{BF50F1EA-9CB7-44DB-8DBB-F26995CDF7C5}" name="MF SL1 R2" dataDxfId="454">
      <calculatedColumnFormula>_xlfn.XLOOKUP(Table121158164170[[#This Row],[ACA Number]],Table12211019344052647688[NAT Number],Table12211019344052647688[run 2 points])</calculatedColumnFormula>
    </tableColumn>
    <tableColumn id="10" xr3:uid="{5E8CB885-5B57-42E5-9321-72C93DFE2EE5}" name="Best 1 run SL race" dataDxfId="453">
      <calculatedColumnFormula array="1">_xlfn.LET(_xlpm.r,Table121158164170[[#This Row],[PM SL1 R1]:[MF SL1 R2]],_xlpm.m,_xlfn.AGGREGATE(15,6,_xlpm.r/(_xlpm.r&lt;&gt;999.99),1),IFERROR(_xlpm.m,999.99))</calculatedColumnFormula>
    </tableColumn>
  </tableColumns>
  <tableStyleInfo name="TableStyleMedium2"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0" xr:uid="{4C5D814D-539E-42E2-B8A4-66738B047347}" name="Table122159165171" displayName="Table122159165171" ref="L2:Q16" totalsRowShown="0">
  <autoFilter ref="L2:Q16" xr:uid="{E74D20A9-1825-4954-AAEF-2F934A165E42}"/>
  <tableColumns count="6">
    <tableColumn id="1" xr3:uid="{F5EB47CF-5E9B-46B2-ADBE-C3ACE96FDE5D}" name="ACA Number"/>
    <tableColumn id="2" xr3:uid="{41D1838C-327E-42D7-B33E-F544FC9EEF12}" name="name "/>
    <tableColumn id="3" xr3:uid="{2C331063-95F5-4745-95EE-76A62BFEC1E9}" name="Category"/>
    <tableColumn id="4" xr3:uid="{E52E5444-EEEB-4F29-8DA3-E06F9211007E}" name="CM SG R1" dataDxfId="452">
      <calculatedColumnFormula>_xlfn.XLOOKUP(Table122159165171[[#This Row],[ACA Number]],Table127163191[NAT Number],Table127163191[run 1 points])</calculatedColumnFormula>
    </tableColumn>
    <tableColumn id="5" xr3:uid="{F6FA4604-AE1A-47F9-BB4F-A1F40C08CDA6}" name="CM SG R2" dataDxfId="451">
      <calculatedColumnFormula>_xlfn.XLOOKUP(Table122159165171[[#This Row],[ACA Number]],Table122110193494[NAT Number],Table122110193494[run 1 points])</calculatedColumnFormula>
    </tableColumn>
    <tableColumn id="6" xr3:uid="{C8FDCEE8-4C18-4955-A2F5-F9D20B54786F}" name="Best 1 run GS Race" dataDxfId="450">
      <calculatedColumnFormula array="1">_xlfn.LET(_xlpm.r,Table122159165171[[#This Row],[CM SG R1]:[CM SG R2]],_xlpm.m,_xlfn.AGGREGATE(15,6,_xlpm.r/(_xlpm.r&lt;&gt;999.99),1),IFERROR(_xlpm.m,999.99))</calculatedColumnFormula>
    </tableColumn>
  </tableColumns>
  <tableStyleInfo name="TableStyleMedium3"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1" xr:uid="{E67BF557-0A11-44CD-BEA0-CA14FB9A2429}" name="Table123160166172" displayName="Table123160166172" ref="S2:AB16" totalsRowShown="0">
  <autoFilter ref="S2:AB16" xr:uid="{7EB29342-CFCE-47CD-B3C4-FA634C2F4C22}"/>
  <tableColumns count="10">
    <tableColumn id="1" xr3:uid="{0416B06A-0F62-40CC-B9D1-C5B712B52AE6}" name="ACA Number"/>
    <tableColumn id="2" xr3:uid="{156772F0-37D2-46B8-840B-F32FF77BE402}" name="name "/>
    <tableColumn id="3" xr3:uid="{8993E95F-15D5-4EBF-9592-7ED86E07295A}" name="Category"/>
    <tableColumn id="4" xr3:uid="{03326F29-14F4-4EF4-911B-A606C7218C3A}" name="CM GS1 R1" dataDxfId="449">
      <calculatedColumnFormula>_xlfn.XLOOKUP(Table123160166172[[#This Row],[ACA Number]],Table122110193440526476[NAT Number],Table122110193440526476[run 1 points])</calculatedColumnFormula>
    </tableColumn>
    <tableColumn id="5" xr3:uid="{139A38A4-49BD-4EF2-B2C8-259A100B5665}" name="CM GS1 R2" dataDxfId="448">
      <calculatedColumnFormula>_xlfn.XLOOKUP(Table123160166172[[#This Row],[ACA Number]],Table122110193440526476[NAT Number],Table122110193440526476[run 2 points])</calculatedColumnFormula>
    </tableColumn>
    <tableColumn id="6" xr3:uid="{10F9F58E-703B-4386-A0B8-25556D7B805F}" name="CM GS2 R1" dataDxfId="447">
      <calculatedColumnFormula>_xlfn.XLOOKUP(Table123160166172[[#This Row],[ACA Number]],Table122110193440526476112[NAT Number],Table122110193440526476112[run 1 points])</calculatedColumnFormula>
    </tableColumn>
    <tableColumn id="7" xr3:uid="{26352CFF-55FA-4806-B8B4-8E0114EC7DFA}" name="CM GS2 R2" dataDxfId="446">
      <calculatedColumnFormula>_xlfn.XLOOKUP(Table123160166172[[#This Row],[ACA Number]],Table122110193440526476112[NAT Number],Table122110193440526476112[run 2 points])</calculatedColumnFormula>
    </tableColumn>
    <tableColumn id="8" xr3:uid="{2A78A9CA-E593-4FCD-8DD0-438845620604}" name="MF GS R1" dataDxfId="445">
      <calculatedColumnFormula>_xlfn.XLOOKUP(Table123160166172[[#This Row],[ACA Number]],Table122110193440526476112118[NAT Number],Table122110193440526476112118[run 1 points])</calculatedColumnFormula>
    </tableColumn>
    <tableColumn id="9" xr3:uid="{06F773A1-9862-4514-883A-4913E8B5DB8B}" name="MF GS R2" dataDxfId="444">
      <calculatedColumnFormula>_xlfn.XLOOKUP(Table123160166172[[#This Row],[ACA Number]],Table122110193440526476112118[NAT Number],Table122110193440526476112118[run 2 points])</calculatedColumnFormula>
    </tableColumn>
    <tableColumn id="10" xr3:uid="{0499E2BE-41B4-42A4-8DF2-AD9430A55893}" name="Best 1 Run" dataDxfId="443">
      <calculatedColumnFormula array="1">_xlfn.LET(_xlpm.r,Table123160166172[[#This Row],[CM GS1 R1]:[MF GS R2]],_xlpm.m,_xlfn.AGGREGATE(15,6,_xlpm.r/(_xlpm.r&lt;&gt;999.99),1),IFERROR(_xlpm.m,999.99))</calculatedColumnFormula>
    </tableColumn>
  </tableColumns>
  <tableStyleInfo name="TableStyleMedium4" showFirstColumn="0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2" xr:uid="{76B62424-BFAD-48B5-95A3-7538BECA4EAB}" name="Table124161167173" displayName="Table124161167173" ref="AD2:AK16" totalsRowShown="0">
  <autoFilter ref="AD2:AK16" xr:uid="{D3734791-4308-4B60-9978-E73DE653AC01}"/>
  <tableColumns count="8">
    <tableColumn id="1" xr3:uid="{887255C1-5B12-4BD0-9A05-B16EA89ABC4C}" name="ACA Number"/>
    <tableColumn id="2" xr3:uid="{87C887FD-B1C8-4CD7-9DC1-385BC3CED171}" name="name "/>
    <tableColumn id="3" xr3:uid="{BFAF02C1-6DE5-44AC-AC2A-3A2E6929E8D0}" name="Category"/>
    <tableColumn id="4" xr3:uid="{8BC50D2C-3C01-41DF-BC25-DEF3FB66ACD5}" name="PM SL1" dataDxfId="442">
      <calculatedColumnFormula>_xlfn.XLOOKUP(Table124161167173[[#This Row],[ACA Number]],Table122110[NAT Number],Table122110[TT race points])</calculatedColumnFormula>
    </tableColumn>
    <tableColumn id="5" xr3:uid="{B29A5381-9A5E-433B-B380-933BC501DECC}" name="PM SL2" dataDxfId="441">
      <calculatedColumnFormula>_xlfn.XLOOKUP(Table124161167173[[#This Row],[ACA Number]],Table12211019[NAT Number],Table12211019[TT race points])</calculatedColumnFormula>
    </tableColumn>
    <tableColumn id="6" xr3:uid="{E15E2694-5E10-45B2-B09F-7667A0F4E31E}" name="MF SL" dataDxfId="440">
      <calculatedColumnFormula>_xlfn.XLOOKUP(Table124161167173[[#This Row],[ACA Number]],Table12211019344052647688[NAT Number],Table12211019344052647688[TT race points])</calculatedColumnFormula>
    </tableColumn>
    <tableColumn id="7" xr3:uid="{3936F1C1-71C2-4011-B9E7-E0C5343B9A6E}" name="Best result" dataDxfId="439">
      <calculatedColumnFormula array="1">_xlfn.LET(_xlpm.r,Table124161167173[[#This Row],[PM SL1]:[MF SL]],_xlpm.m,_xlfn.AGGREGATE(15,6,_xlpm.r/(_xlpm.r&lt;&gt;999.99),1),IFERROR(_xlpm.m,999.99))</calculatedColumnFormula>
    </tableColumn>
    <tableColumn id="8" xr3:uid="{32FEBFB2-F19C-419F-A73A-E787F5F082CC}" name="2nd Best Result" dataDxfId="438">
      <calculatedColumnFormula array="1">_xlfn.LET(_xlpm.r,Table124161167173[[#This Row],[PM SL1]:[MF SL]],_xlpm.m,_xlfn.AGGREGATE(15,6,_xlpm.r/(_xlpm.r&lt;&gt;999.99),2),IFERROR(_xlpm.m,999.99))</calculatedColumnFormula>
    </tableColumn>
  </tableColumns>
  <tableStyleInfo name="TableStyleMedium2" showFirstColumn="0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3" xr:uid="{CFC9C76C-2CD0-4E82-BFD3-664AB3243356}" name="Table125162168174" displayName="Table125162168174" ref="AM2:AT16" totalsRowShown="0">
  <autoFilter ref="AM2:AT16" xr:uid="{043FEDCE-DECA-4CD2-98DF-9938874C3A11}"/>
  <tableColumns count="8">
    <tableColumn id="1" xr3:uid="{CCB3F1FD-EF5B-483B-9B33-5A8BB0FF3F56}" name="ACA Number"/>
    <tableColumn id="2" xr3:uid="{81FEDB0D-9DBD-4E65-8E24-67ABD0FACF74}" name="name "/>
    <tableColumn id="3" xr3:uid="{0CCC890B-058D-4F08-A108-BB050D66B153}" name="Category"/>
    <tableColumn id="4" xr3:uid="{3A1BEDF9-A562-4451-B8E1-E3846592EA7F}" name="CM GS1" dataDxfId="437">
      <calculatedColumnFormula>_xlfn.XLOOKUP(Table125162168174[[#This Row],[ACA Number]],Table122110193440526476[NAT Number],Table122110193440526476[TT race points])</calculatedColumnFormula>
    </tableColumn>
    <tableColumn id="5" xr3:uid="{45C30B54-4E63-4F50-A851-A3CCD6DC77B5}" name="CM GS2" dataDxfId="436">
      <calculatedColumnFormula>_xlfn.XLOOKUP(Table125162168174[[#This Row],[ACA Number]],Table122110193440526476112[NAT Number],Table122110193440526476112[TT race points])</calculatedColumnFormula>
    </tableColumn>
    <tableColumn id="6" xr3:uid="{EA78918C-7BAE-4C13-8814-B18ABCE065D9}" name="MF GS" dataDxfId="435">
      <calculatedColumnFormula>_xlfn.XLOOKUP(Table125162168174[[#This Row],[ACA Number]],Table122110193440526476112118[NAT Number],Table122110193440526476112118[TT race points])</calculatedColumnFormula>
    </tableColumn>
    <tableColumn id="7" xr3:uid="{EFC0A4A8-74AE-4065-8905-BF94FB207E53}" name="Best result" dataDxfId="434">
      <calculatedColumnFormula array="1">_xlfn.LET(_xlpm.r,Table125162168174[[#This Row],[CM GS1]:[MF GS]],_xlpm.m,_xlfn.AGGREGATE(15,6,_xlpm.r/(_xlpm.r&lt;&gt;999.99),1),IFERROR(_xlpm.m,999.99))</calculatedColumnFormula>
    </tableColumn>
    <tableColumn id="8" xr3:uid="{42DA40C1-B9D1-4190-ADEE-C1DB931E916A}" name="2nd Best Result" dataDxfId="433">
      <calculatedColumnFormula array="1">_xlfn.LET(_xlpm.r,Table125162168174[[#This Row],[CM GS1]:[MF GS]],_xlpm.m,_xlfn.AGGREGATE(15,6,_xlpm.r/(_xlpm.r&lt;&gt;999.99),2),IFERROR(_xlpm.m,999.99))</calculatedColumnFormula>
    </tableColumn>
  </tableColumns>
  <tableStyleInfo name="TableStyleMedium4" showFirstColumn="0" showLastColumn="0" showRowStripes="1" showColumnStripes="0"/>
</table>
</file>

<file path=xl/tables/table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4" xr:uid="{0C63792D-7F19-45BE-A566-EE1167BE2D98}" name="Table126163169175" displayName="Table126163169175" ref="AV2:BG16" totalsRowShown="0">
  <autoFilter ref="AV2:BG16" xr:uid="{5869560C-5090-4E74-ACA4-FC05EEFA980A}"/>
  <sortState xmlns:xlrd2="http://schemas.microsoft.com/office/spreadsheetml/2017/richdata2" ref="AV3:BG16">
    <sortCondition ref="BG2:BG16"/>
  </sortState>
  <tableColumns count="12">
    <tableColumn id="1" xr3:uid="{83AEC2A8-4FBE-4CFC-9063-5FEF9185D4F2}" name="ACA Number"/>
    <tableColumn id="2" xr3:uid="{96FCA07B-CB92-472D-8118-4D28CD47D055}" name="name "/>
    <tableColumn id="3" xr3:uid="{29848D10-5228-4B3B-A8ED-BE09049006BB}" name="Category"/>
    <tableColumn id="4" xr3:uid="{79A5BFCA-47CA-4572-AB14-1EAA1C8A1613}" name="SL 1 run" dataDxfId="432">
      <calculatedColumnFormula>_xlfn.XLOOKUP(Table126163169175[[#This Row],[ACA Number]],Table121158164170[ACA Number],Table121158164170[Best 1 run SL race])</calculatedColumnFormula>
    </tableColumn>
    <tableColumn id="5" xr3:uid="{3FF1D6D4-8C7B-4444-AEEB-286C8917DA9A}" name="GS 1 Run" dataDxfId="431">
      <calculatedColumnFormula>_xlfn.XLOOKUP(Table126163169175[[#This Row],[ACA Number]],Table123160166172[ACA Number],Table123160166172[Best 1 Run])</calculatedColumnFormula>
    </tableColumn>
    <tableColumn id="6" xr3:uid="{E45BFCFF-E4C1-42F7-8DBE-E5101F9FDD8A}" name="SG race" dataDxfId="430">
      <calculatedColumnFormula>_xlfn.XLOOKUP(Table126163169175[[#This Row],[ACA Number]],Table122159165171[ACA Number],Table122159165171[Best 1 run GS Race])</calculatedColumnFormula>
    </tableColumn>
    <tableColumn id="7" xr3:uid="{139A16F8-0A62-47B4-88F9-28EDA16DA174}" name="Best SL race" dataDxfId="429">
      <calculatedColumnFormula>_xlfn.XLOOKUP(Table126163169175[[#This Row],[ACA Number]],Table124161167173[ACA Number],Table124161167173[Best result],)</calculatedColumnFormula>
    </tableColumn>
    <tableColumn id="8" xr3:uid="{2153FC6B-F475-4859-A368-5F2350F11C41}" name="2nd Best SL race" dataDxfId="428">
      <calculatedColumnFormula>_xlfn.XLOOKUP(Table126163169175[[#This Row],[ACA Number]],Table124161167173[ACA Number],Table124161167173[2nd Best Result])</calculatedColumnFormula>
    </tableColumn>
    <tableColumn id="9" xr3:uid="{DC6EC5A2-3366-4CA9-A53C-BA95AAD9F0D7}" name="Best GS race" dataDxfId="427">
      <calculatedColumnFormula>_xlfn.XLOOKUP(Table126163169175[[#This Row],[ACA Number]],Table125162168174[ACA Number],Table125162168174[Best result])</calculatedColumnFormula>
    </tableColumn>
    <tableColumn id="10" xr3:uid="{88D7DF6B-6016-4A4F-BDA7-8AD7D1422A4E}" name="2nd Best GS race" dataDxfId="426">
      <calculatedColumnFormula>_xlfn.XLOOKUP(Table126163169175[[#This Row],[ACA Number]],Table125162168174[ACA Number],Table125162168174[2nd Best Result])</calculatedColumnFormula>
    </tableColumn>
    <tableColumn id="11" xr3:uid="{ED3D7D0E-0BF6-49C8-A561-15BF79E53A8A}" name="Total Points" dataDxfId="425">
      <calculatedColumnFormula>SUM(AY3:BE3)</calculatedColumnFormula>
    </tableColumn>
    <tableColumn id="12" xr3:uid="{5484A42A-CEEC-4A7B-955A-5F99A9943BA7}" name="Position" dataDxfId="424">
      <calculatedColumnFormula>_xlfn.RANK.EQ(Table126163169175[[#This Row],[Total Points]],Table126163169175[Total Points],1)</calculatedColumnFormula>
    </tableColumn>
  </tableColumns>
  <tableStyleInfo name="TableStyleMedium5" showFirstColumn="0" showLastColumn="0" showRowStripes="1" showColumnStripes="0"/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8" xr:uid="{ACDF78FE-17FC-46EE-9C3F-20BFBFC5DAA2}" name="Table121158164189" displayName="Table121158164189" ref="A2:J11" totalsRowShown="0">
  <autoFilter ref="A2:J11" xr:uid="{85C0A356-491F-445E-A4A9-9FE52FC76524}"/>
  <sortState xmlns:xlrd2="http://schemas.microsoft.com/office/spreadsheetml/2017/richdata2" ref="A3:J11">
    <sortCondition ref="J2:J11"/>
  </sortState>
  <tableColumns count="10">
    <tableColumn id="1" xr3:uid="{5B82089C-D0A1-4EF5-8BFF-FC7E924637F7}" name="ACA Number"/>
    <tableColumn id="2" xr3:uid="{4132833E-BD77-4519-83A6-2FBF1AC2894C}" name="name "/>
    <tableColumn id="3" xr3:uid="{38772E84-3324-4BF5-AA20-E6D90EAF425E}" name="Category"/>
    <tableColumn id="4" xr3:uid="{7CB1A898-8C2A-47D3-87EF-A529EE00C1F2}" name="PM SL1 R1" dataDxfId="423">
      <calculatedColumnFormula>_xlfn.XLOOKUP(Table121158164189[[#This Row],[ACA Number]],Table1221[NAT Number],Table1221[run 1 points])</calculatedColumnFormula>
    </tableColumn>
    <tableColumn id="5" xr3:uid="{CE0AE30D-EE28-4D36-A46F-6E854FC03661}" name="PM SL1 R2" dataDxfId="422">
      <calculatedColumnFormula>_xlfn.XLOOKUP(Table121158164189[[#This Row],[ACA Number]],Table1221[NAT Number],Table1221[run 2 points])</calculatedColumnFormula>
    </tableColumn>
    <tableColumn id="6" xr3:uid="{331367CD-3B8C-4BF1-AAAE-3D0BE3965D42}" name="PM SL2 R1" dataDxfId="421">
      <calculatedColumnFormula>_xlfn.XLOOKUP(Table121158164189[[#This Row],[ACA Number]],Table122128[NAT Number],Table122128[run 1 points])</calculatedColumnFormula>
    </tableColumn>
    <tableColumn id="7" xr3:uid="{B173A4FE-9797-4815-ACA6-EFD22E6CFD1D}" name="PM SL2 R2" dataDxfId="420">
      <calculatedColumnFormula>_xlfn.XLOOKUP(Table121158164189[[#This Row],[ACA Number]],Table122128[NAT Number],Table122128[run 2 points])</calculatedColumnFormula>
    </tableColumn>
    <tableColumn id="8" xr3:uid="{0F734639-42F8-456B-BB58-CD1AB45F4265}" name="MF SL1 R1" dataDxfId="419">
      <calculatedColumnFormula>_xlfn.XLOOKUP(Table121158164189[[#This Row],[ACA Number]],Table122110193446587082[NAT Number],Table122110193446587082[run 1 points])</calculatedColumnFormula>
    </tableColumn>
    <tableColumn id="9" xr3:uid="{CBE1555E-1CC9-4853-8375-5493DA85CBCC}" name="MF SL1 R2" dataDxfId="418">
      <calculatedColumnFormula>_xlfn.XLOOKUP(Table121158164189[[#This Row],[ACA Number]],Table122110193446587082[NAT Number],Table122110193446587082[run 2 points])</calculatedColumnFormula>
    </tableColumn>
    <tableColumn id="10" xr3:uid="{CF9D102C-9DCC-4CF3-A7DE-8F1B539C9E05}" name="Best 1 run SL race" dataDxfId="417">
      <calculatedColumnFormula array="1">_xlfn.LET(_xlpm.r,Table121158164189[[#This Row],[PM SL1 R1]:[MF SL1 R2]],_xlpm.m,_xlfn.AGGREGATE(15,6,_xlpm.r/(_xlpm.r&lt;&gt;999.99),1),IFERROR(_xlpm.m,999.99))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99F53EED-816D-43E7-8884-A3156632D5DD}" name="Table5" displayName="Table5" ref="AA1:AD14" totalsRowShown="0">
  <autoFilter ref="AA1:AD14" xr:uid="{99F53EED-816D-43E7-8884-A3156632D5DD}"/>
  <tableColumns count="4">
    <tableColumn id="1" xr3:uid="{1460CFDC-D77C-4CFA-B275-8396980BE00F}" name="YOB"/>
    <tableColumn id="2" xr3:uid="{2F329A55-92FC-49DA-B811-B454E3A8374B}" name="Category"/>
    <tableColumn id="3" xr3:uid="{DC1F1F2E-F7E6-41FB-ABE5-7417B230FC60}" name="Year end"/>
    <tableColumn id="4" xr3:uid="{EF80F9F3-19C9-4034-B76E-E816F49EF323}" name="Age"/>
  </tableColumns>
  <tableStyleInfo name="TableStyleMedium2" showFirstColumn="0" showLastColumn="0" showRowStripes="1" showColumnStripes="0"/>
</table>
</file>

<file path=xl/tables/table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9" xr:uid="{85DEF817-34E7-4554-8C25-AB198407E2FA}" name="Table122159165190" displayName="Table122159165190" ref="L2:Q11" totalsRowShown="0">
  <autoFilter ref="L2:Q11" xr:uid="{E74D20A9-1825-4954-AAEF-2F934A165E42}"/>
  <tableColumns count="6">
    <tableColumn id="1" xr3:uid="{22542B6D-9629-4F8A-BD53-6EED45832A02}" name="ACA Number"/>
    <tableColumn id="2" xr3:uid="{4DF1CF49-8A7A-4CC8-A8E2-0BDF5D9B2740}" name="name "/>
    <tableColumn id="3" xr3:uid="{164542F6-0B9A-4C3E-BBD3-C1B18C98DD93}" name="Category"/>
    <tableColumn id="4" xr3:uid="{C2D5F68C-C182-4467-9B83-83EE8E09FEE0}" name="CM SG R1" dataDxfId="416">
      <calculatedColumnFormula>_xlfn.XLOOKUP(Table122159165190[[#This Row],[ACA Number]],Table1271631[NAT Number],Table1271631[run 1 points])</calculatedColumnFormula>
    </tableColumn>
    <tableColumn id="5" xr3:uid="{FCC29ED8-4EA1-433B-8CB0-9D6C02EBE63B}" name="CM SG R2" dataDxfId="415">
      <calculatedColumnFormula>_xlfn.XLOOKUP(Table122159165190[[#This Row],[ACA Number]],Table1221101934[NAT Number],Table1221101934[run 1 points])</calculatedColumnFormula>
    </tableColumn>
    <tableColumn id="6" xr3:uid="{1D13410A-2613-4418-B500-826092D88AB0}" name="Best 1 run GS Race" dataDxfId="414">
      <calculatedColumnFormula array="1">_xlfn.LET(_xlpm.r,Table122159165190[[#This Row],[CM SG R1]:[CM SG R2]],_xlpm.m,_xlfn.AGGREGATE(15,6,_xlpm.r/(_xlpm.r&lt;&gt;999.99),1),IFERROR(_xlpm.m,999.99))</calculatedColumnFormula>
    </tableColumn>
  </tableColumns>
  <tableStyleInfo name="TableStyleMedium3" showFirstColumn="0" showLastColumn="0" showRowStripes="1" showColumnStripes="0"/>
</table>
</file>

<file path=xl/tables/table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0" xr:uid="{665BF8D0-A4A8-4606-B486-92E590B54901}" name="Table123160166191" displayName="Table123160166191" ref="S2:AB11" totalsRowShown="0">
  <autoFilter ref="S2:AB11" xr:uid="{7EB29342-CFCE-47CD-B3C4-FA634C2F4C22}"/>
  <tableColumns count="10">
    <tableColumn id="1" xr3:uid="{B60700A1-D00F-4CA6-8DE9-1FCA054380B7}" name="ACA Number"/>
    <tableColumn id="2" xr3:uid="{F0476BC8-DA69-4093-90B8-6DED6CEC9E54}" name="name "/>
    <tableColumn id="3" xr3:uid="{86E68F50-CD2B-4127-AC07-BF7D779FBECA}" name="Category"/>
    <tableColumn id="4" xr3:uid="{67E9177F-0082-4F6E-951B-542E9A6B8A49}" name="CM GS1 R1" dataDxfId="413">
      <calculatedColumnFormula>_xlfn.XLOOKUP(Table123160166191[[#This Row],[ACA Number]],Table1221101934465870100106[NAT Number],Table1221101934465870100106[run 1 points])</calculatedColumnFormula>
    </tableColumn>
    <tableColumn id="5" xr3:uid="{9EE33F7D-3266-4A81-9104-D1E51E074BB6}" name="CM GS1 R2" dataDxfId="412">
      <calculatedColumnFormula>_xlfn.XLOOKUP(Table123160166191[[#This Row],[ACA Number]],Table1221101934465870100106[NAT Number],Table1221101934465870100106[run 2 points])</calculatedColumnFormula>
    </tableColumn>
    <tableColumn id="6" xr3:uid="{758044BB-2314-4740-9050-B41D2A7A9512}" name="CM GS2 R1" dataDxfId="411">
      <calculatedColumnFormula>_xlfn.XLOOKUP(Table123160166191[[#This Row],[ACA Number]],Table1221101934465870100[NAT Number],Table1221101934465870100[run 1 points])</calculatedColumnFormula>
    </tableColumn>
    <tableColumn id="7" xr3:uid="{FD2A79A1-F174-4DCD-A579-05F97A3FE990}" name="CM GS2 R2" dataDxfId="410">
      <calculatedColumnFormula>_xlfn.XLOOKUP(Table123160166191[[#This Row],[ACA Number]],Table1221101934465870100[NAT Number],Table1221101934465870100[run 2 points])</calculatedColumnFormula>
    </tableColumn>
    <tableColumn id="8" xr3:uid="{2A7E6359-597B-4741-90C0-B31F297D23E8}" name="MF GS R1" dataDxfId="409">
      <calculatedColumnFormula>_xlfn.XLOOKUP(Table123160166191[[#This Row],[ACA Number]],Table1221101934465870[NAT Number],Table1221101934465870[run 1 points])</calculatedColumnFormula>
    </tableColumn>
    <tableColumn id="9" xr3:uid="{EBF41EFE-EF0F-478D-A236-777A6CBA881C}" name="MF GS R2" dataDxfId="408">
      <calculatedColumnFormula>_xlfn.XLOOKUP(Table123160166191[[#This Row],[ACA Number]],Table1221101934465870[NAT Number],Table1221101934465870[run 2 points])</calculatedColumnFormula>
    </tableColumn>
    <tableColumn id="10" xr3:uid="{013E17F6-5337-4A6E-A1A4-E555AA2D5781}" name="Best 1 Run" dataDxfId="407">
      <calculatedColumnFormula array="1">_xlfn.LET(_xlpm.r,Table123160166191[[#This Row],[CM GS1 R1]:[MF GS R2]],_xlpm.m,_xlfn.AGGREGATE(15,6,_xlpm.r/(_xlpm.r&lt;&gt;999.99),1),IFERROR(_xlpm.m,999.99))</calculatedColumnFormula>
    </tableColumn>
  </tableColumns>
  <tableStyleInfo name="TableStyleMedium4" showFirstColumn="0" showLastColumn="0" showRowStripes="1" showColumnStripes="0"/>
</table>
</file>

<file path=xl/tables/table4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1" xr:uid="{5948964A-B992-4117-A310-3041E493F67B}" name="Table124161167192" displayName="Table124161167192" ref="AD2:AK11" totalsRowShown="0">
  <autoFilter ref="AD2:AK11" xr:uid="{D3734791-4308-4B60-9978-E73DE653AC01}"/>
  <tableColumns count="8">
    <tableColumn id="1" xr3:uid="{BD6C559D-7CE4-4755-8E9B-98CBF4EDBE49}" name="ACA Number"/>
    <tableColumn id="2" xr3:uid="{9E3B55E7-1EC7-4D89-9529-074A4D718B99}" name="name "/>
    <tableColumn id="3" xr3:uid="{8F5CA872-78E5-43D4-BA92-22BD6B2BA709}" name="Category"/>
    <tableColumn id="4" xr3:uid="{AE995583-1312-4D1A-8DC6-BD779AA4D961}" name="PM SL1" dataDxfId="406">
      <calculatedColumnFormula>_xlfn.XLOOKUP(Table124161167192[[#This Row],[ACA Number]],Table1221[NAT Number],Table1221[TT race points])</calculatedColumnFormula>
    </tableColumn>
    <tableColumn id="5" xr3:uid="{AE85E90A-A361-4C3F-9643-F63FEE721908}" name="PM SL2" dataDxfId="405">
      <calculatedColumnFormula>_xlfn.XLOOKUP(Table124161167192[[#This Row],[ACA Number]],Table122128[NAT Number],Table122128[TT race points])</calculatedColumnFormula>
    </tableColumn>
    <tableColumn id="6" xr3:uid="{56A997C0-60F3-47CE-975A-995BEE00D5D1}" name="MF SL" dataDxfId="404">
      <calculatedColumnFormula>_xlfn.XLOOKUP(Table124161167192[[#This Row],[ACA Number]],Table122110193446587082[NAT Number],Table122110193446587082[TT race points])</calculatedColumnFormula>
    </tableColumn>
    <tableColumn id="7" xr3:uid="{B3D79B89-1513-4279-89D3-5F226D9A5223}" name="Best result" dataDxfId="403">
      <calculatedColumnFormula array="1">_xlfn.LET(_xlpm.r,Table124161167192[[#This Row],[PM SL1]:[MF SL]],_xlpm.m,_xlfn.AGGREGATE(15,6,_xlpm.r/(_xlpm.r&lt;&gt;999.99),1),IFERROR(_xlpm.m,999.99))</calculatedColumnFormula>
    </tableColumn>
    <tableColumn id="8" xr3:uid="{ADE4AB7E-3BC9-4E44-A7AA-49DAD115C428}" name="2nd Best Result" dataDxfId="402">
      <calculatedColumnFormula array="1">_xlfn.LET(_xlpm.r,Table124161167192[[#This Row],[PM SL1]:[MF SL]],_xlpm.m,_xlfn.AGGREGATE(15,6,_xlpm.r/(_xlpm.r&lt;&gt;999.99),2),IFERROR(_xlpm.m,999.99))</calculatedColumnFormula>
    </tableColumn>
  </tableColumns>
  <tableStyleInfo name="TableStyleMedium2" showFirstColumn="0" showLastColumn="0" showRowStripes="1" showColumnStripes="0"/>
</table>
</file>

<file path=xl/tables/table4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2" xr:uid="{481D3E35-D1DF-4ED3-B1FE-ADA46992C288}" name="Table125162168193" displayName="Table125162168193" ref="AM2:AT11" totalsRowShown="0">
  <autoFilter ref="AM2:AT11" xr:uid="{043FEDCE-DECA-4CD2-98DF-9938874C3A11}"/>
  <tableColumns count="8">
    <tableColumn id="1" xr3:uid="{1F592972-A79C-44E0-8DD3-87D4E34AD115}" name="ACA Number"/>
    <tableColumn id="2" xr3:uid="{CD4986BE-ED28-47F0-82B2-AC328C26DE64}" name="name "/>
    <tableColumn id="3" xr3:uid="{E000F296-7828-4D4C-9B21-3B231C9304A9}" name="Category"/>
    <tableColumn id="4" xr3:uid="{CF5866AF-5FDE-4717-89C7-B62631823341}" name="CM GS1" dataDxfId="401">
      <calculatedColumnFormula>_xlfn.XLOOKUP(Table125162168193[[#This Row],[ACA Number]],Table1221101934465870100106[NAT Number],Table1221101934465870100106[TT race points])</calculatedColumnFormula>
    </tableColumn>
    <tableColumn id="5" xr3:uid="{657AC28D-3CE5-4D62-93D9-758C1B850215}" name="CM GS2" dataDxfId="400">
      <calculatedColumnFormula>_xlfn.XLOOKUP(Table125162168193[[#This Row],[ACA Number]],Table1221101934465870100[NAT Number],Table1221101934465870100[TT race points])</calculatedColumnFormula>
    </tableColumn>
    <tableColumn id="6" xr3:uid="{D8E541B7-0F56-4AD1-90DB-B51A725C8BE8}" name="MF GS" dataDxfId="399">
      <calculatedColumnFormula>_xlfn.XLOOKUP(Table125162168193[[#This Row],[ACA Number]],Table1221101934465870[NAT Number],Table1221101934465870[TT race points])</calculatedColumnFormula>
    </tableColumn>
    <tableColumn id="7" xr3:uid="{56A4C332-F3F2-43CE-83B0-75ED37FBDA3B}" name="Best result" dataDxfId="398">
      <calculatedColumnFormula array="1">_xlfn.LET(_xlpm.r,Table125162168193[[#This Row],[CM GS1]:[MF GS]],_xlpm.m,_xlfn.AGGREGATE(15,6,_xlpm.r/(_xlpm.r&lt;&gt;999.99),1),IFERROR(_xlpm.m,999.99))</calculatedColumnFormula>
    </tableColumn>
    <tableColumn id="8" xr3:uid="{A5BF1EA7-4261-44E0-8E37-D57D791242BE}" name="2nd Best Result" dataDxfId="397">
      <calculatedColumnFormula array="1">_xlfn.LET(_xlpm.r,Table125162168193[[#This Row],[CM GS1]:[MF GS]],_xlpm.m,_xlfn.AGGREGATE(15,6,_xlpm.r/(_xlpm.r&lt;&gt;999.99),2),IFERROR(_xlpm.m,999.99))</calculatedColumnFormula>
    </tableColumn>
  </tableColumns>
  <tableStyleInfo name="TableStyleMedium4" showFirstColumn="0" showLastColumn="0" showRowStripes="1" showColumnStripes="0"/>
</table>
</file>

<file path=xl/tables/table4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3" xr:uid="{82CB95FC-ADAF-4128-8081-E2FC4E8A53E0}" name="Table126163169194" displayName="Table126163169194" ref="AV2:BG11" totalsRowShown="0">
  <autoFilter ref="AV2:BG11" xr:uid="{5869560C-5090-4E74-ACA4-FC05EEFA980A}"/>
  <sortState xmlns:xlrd2="http://schemas.microsoft.com/office/spreadsheetml/2017/richdata2" ref="AV3:BG11">
    <sortCondition ref="BG2:BG11"/>
  </sortState>
  <tableColumns count="12">
    <tableColumn id="1" xr3:uid="{BCFD68FF-3869-4404-8B84-BC1E04047A70}" name="ACA Number"/>
    <tableColumn id="2" xr3:uid="{85C36600-5CEE-4EE6-BBDC-432C553C21C8}" name="name "/>
    <tableColumn id="3" xr3:uid="{E553261E-54AB-431E-B4B7-B0464C6A7286}" name="Category"/>
    <tableColumn id="4" xr3:uid="{0034F900-AFAD-4D1E-9564-EE928BC2B3FB}" name="SL 1 run" dataDxfId="396">
      <calculatedColumnFormula>_xlfn.XLOOKUP(Table126163169194[[#This Row],[ACA Number]],Table121158164189[ACA Number],Table121158164189[Best 1 run SL race])</calculatedColumnFormula>
    </tableColumn>
    <tableColumn id="5" xr3:uid="{C6B1314E-D954-42A5-9ED1-ADCE00FC7AD4}" name="GS 1 Run" dataDxfId="395">
      <calculatedColumnFormula>_xlfn.XLOOKUP(Table126163169194[[#This Row],[ACA Number]],Table123160166191[ACA Number],Table123160166191[Best 1 Run])</calculatedColumnFormula>
    </tableColumn>
    <tableColumn id="6" xr3:uid="{F7B9EB5F-E9DE-4C61-B7D1-0540B7ED3896}" name="SG race" dataDxfId="394">
      <calculatedColumnFormula>_xlfn.XLOOKUP(Table126163169194[[#This Row],[ACA Number]],Table122159165190[ACA Number],Table122159165190[Best 1 run GS Race])</calculatedColumnFormula>
    </tableColumn>
    <tableColumn id="7" xr3:uid="{88329610-67C5-4EBB-9C61-5A6D7AC34478}" name="Best SL race" dataDxfId="393">
      <calculatedColumnFormula>_xlfn.XLOOKUP(Table126163169194[[#This Row],[ACA Number]],Table124161167192[ACA Number],Table124161167192[Best result],)</calculatedColumnFormula>
    </tableColumn>
    <tableColumn id="8" xr3:uid="{8518C098-0643-4922-A358-046CD182A7BF}" name="2nd Best SL race" dataDxfId="392">
      <calculatedColumnFormula>_xlfn.XLOOKUP(Table126163169194[[#This Row],[ACA Number]],Table124161167192[ACA Number],Table124161167192[2nd Best Result])</calculatedColumnFormula>
    </tableColumn>
    <tableColumn id="9" xr3:uid="{5AE0A327-7096-4668-A915-5B6782495F65}" name="Best GS race" dataDxfId="391">
      <calculatedColumnFormula>_xlfn.XLOOKUP(Table126163169194[[#This Row],[ACA Number]],Table125162168193[ACA Number],Table125162168193[Best result])</calculatedColumnFormula>
    </tableColumn>
    <tableColumn id="10" xr3:uid="{05D15A3F-06AE-4470-84C5-29C93B5AC042}" name="2nd Best GS race" dataDxfId="390">
      <calculatedColumnFormula>_xlfn.XLOOKUP(Table126163169194[[#This Row],[ACA Number]],Table125162168193[ACA Number],Table125162168193[2nd Best Result])</calculatedColumnFormula>
    </tableColumn>
    <tableColumn id="11" xr3:uid="{FB495C0B-4303-46C5-96DD-034A72E68F79}" name="Total Points" dataDxfId="389">
      <calculatedColumnFormula>SUM(AY3:BE3)</calculatedColumnFormula>
    </tableColumn>
    <tableColumn id="12" xr3:uid="{B32E6753-5091-4602-BCDB-FCEFA08526DB}" name="Position" dataDxfId="388">
      <calculatedColumnFormula>_xlfn.RANK.EQ(Table126163169194[[#This Row],[Total Points]],Table126163169194[Total Points],1)</calculatedColumnFormula>
    </tableColumn>
  </tableColumns>
  <tableStyleInfo name="TableStyleMedium5" showFirstColumn="0" showLastColumn="0" showRowStripes="1" showColumnStripes="0"/>
</table>
</file>

<file path=xl/tables/table4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4" xr:uid="{EB7CAD4D-B566-426D-92BD-AD4CB72DED19}" name="Table121158164170195" displayName="Table121158164170195" ref="A2:J8" totalsRowShown="0">
  <autoFilter ref="A2:J8" xr:uid="{85C0A356-491F-445E-A4A9-9FE52FC76524}"/>
  <sortState xmlns:xlrd2="http://schemas.microsoft.com/office/spreadsheetml/2017/richdata2" ref="A3:J8">
    <sortCondition ref="J2:J8"/>
  </sortState>
  <tableColumns count="10">
    <tableColumn id="1" xr3:uid="{75FB3CB9-F482-4DAF-85E8-DF7AA40E672F}" name="ACA Number"/>
    <tableColumn id="2" xr3:uid="{CF385015-2B30-4855-9B5C-54DE852D5BF5}" name="name "/>
    <tableColumn id="3" xr3:uid="{0CCD453A-E694-4EC1-8B71-F0D819632D2F}" name="Category"/>
    <tableColumn id="4" xr3:uid="{F24A0C34-F7E7-48B9-B0F6-BB2E0F814347}" name="PM SL1 R1" dataDxfId="387">
      <calculatedColumnFormula>_xlfn.XLOOKUP(Table121158164170195[[#This Row],[ACA Number]],Table122110[NAT Number],Table122110[run 1 points])</calculatedColumnFormula>
    </tableColumn>
    <tableColumn id="5" xr3:uid="{A9A4BE10-3055-43D6-887D-59BB9056187D}" name="PM SL1 R2" dataDxfId="386">
      <calculatedColumnFormula>_xlfn.XLOOKUP(Table121158164170195[[#This Row],[ACA Number]],Table122110[NAT Number],Table122110[run 2 points])</calculatedColumnFormula>
    </tableColumn>
    <tableColumn id="6" xr3:uid="{267A87A2-9855-445E-AB21-BB8A51BD0585}" name="PM SL2 R1" dataDxfId="385">
      <calculatedColumnFormula>_xlfn.XLOOKUP(Table121158164170195[[#This Row],[ACA Number]],Table12211019[NAT Number],Table12211019[run 2 points])</calculatedColumnFormula>
    </tableColumn>
    <tableColumn id="7" xr3:uid="{2941378E-4DE7-45AF-B317-42B68E4BB112}" name="PM SL2 R2" dataDxfId="384">
      <calculatedColumnFormula>_xlfn.XLOOKUP(Table121158164170195[[#This Row],[ACA Number]],Table12211019[NAT Number],Table12211019[run 2 points])</calculatedColumnFormula>
    </tableColumn>
    <tableColumn id="8" xr3:uid="{B0ABA751-9324-4B0F-ADFA-3F8B863185C7}" name="MF SL1 R1" dataDxfId="383">
      <calculatedColumnFormula>_xlfn.XLOOKUP(Table121158164170195[[#This Row],[ACA Number]],Table12211019344052647688[NAT Number],Table12211019344052647688[run 1 points])</calculatedColumnFormula>
    </tableColumn>
    <tableColumn id="9" xr3:uid="{39B83637-20D7-4AB9-9DA5-A1A648F1CAB1}" name="MF SL1 R2" dataDxfId="382">
      <calculatedColumnFormula>_xlfn.XLOOKUP(Table121158164170195[[#This Row],[ACA Number]],Table12211019344052647688[NAT Number],Table12211019344052647688[run 2 points])</calculatedColumnFormula>
    </tableColumn>
    <tableColumn id="10" xr3:uid="{A7133780-7A3D-4CF4-BE40-BCED74CF20BF}" name="Best 1 run SL race" dataDxfId="381">
      <calculatedColumnFormula array="1">_xlfn.LET(_xlpm.r,Table121158164170195[[#This Row],[PM SL1 R1]:[MF SL1 R2]],_xlpm.m,_xlfn.AGGREGATE(15,6,_xlpm.r/(_xlpm.r&lt;&gt;999.99),1),IFERROR(_xlpm.m,999.99))</calculatedColumnFormula>
    </tableColumn>
  </tableColumns>
  <tableStyleInfo name="TableStyleMedium2" showFirstColumn="0" showLastColumn="0" showRowStripes="1" showColumnStripes="0"/>
</table>
</file>

<file path=xl/tables/table4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5" xr:uid="{ADFD700C-1988-4C90-A91A-74587A809ABC}" name="Table122159165171196" displayName="Table122159165171196" ref="L2:Q8" totalsRowShown="0">
  <autoFilter ref="L2:Q8" xr:uid="{E74D20A9-1825-4954-AAEF-2F934A165E42}"/>
  <tableColumns count="6">
    <tableColumn id="1" xr3:uid="{D9B15E05-4F60-4D24-B36B-3FCF9532F0E2}" name="ACA Number"/>
    <tableColumn id="2" xr3:uid="{8866D7F1-BF46-4CE4-B1D1-599A4FF973F5}" name="name "/>
    <tableColumn id="3" xr3:uid="{11E33AE9-A368-48B0-9B7D-F818EE20BEC3}" name="Category"/>
    <tableColumn id="4" xr3:uid="{9AB9A0E6-03E3-41CE-B6D5-78C7038178CD}" name="CM SG R1" dataDxfId="380">
      <calculatedColumnFormula>_xlfn.XLOOKUP(Table122159165171196[[#This Row],[ACA Number]],Table127163191[NAT Number],Table127163191[run 1 points])</calculatedColumnFormula>
    </tableColumn>
    <tableColumn id="5" xr3:uid="{F399C207-808F-43E9-B890-5E1CBE689FAA}" name="CM SG R2" dataDxfId="379">
      <calculatedColumnFormula>_xlfn.XLOOKUP(Table122159165171196[[#This Row],[ACA Number]],Table122110193494[NAT Number],Table122110193494[run 1 points])</calculatedColumnFormula>
    </tableColumn>
    <tableColumn id="6" xr3:uid="{5C2C9D5C-2D5A-431E-8347-EDA8B1FCEB25}" name="Best 1 run GS Race" dataDxfId="378">
      <calculatedColumnFormula array="1">_xlfn.LET(_xlpm.r,Table122159165171196[[#This Row],[CM SG R1]:[CM SG R2]],_xlpm.m,_xlfn.AGGREGATE(15,6,_xlpm.r/(_xlpm.r&lt;&gt;999.99),1),IFERROR(_xlpm.m,999.99))</calculatedColumnFormula>
    </tableColumn>
  </tableColumns>
  <tableStyleInfo name="TableStyleMedium3" showFirstColumn="0" showLastColumn="0" showRowStripes="1" showColumnStripes="0"/>
</table>
</file>

<file path=xl/tables/table4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6" xr:uid="{552B12F6-D5A9-437D-817A-046ACD34178D}" name="Table123160166172197" displayName="Table123160166172197" ref="S2:AB8" totalsRowShown="0">
  <autoFilter ref="S2:AB8" xr:uid="{7EB29342-CFCE-47CD-B3C4-FA634C2F4C22}"/>
  <tableColumns count="10">
    <tableColumn id="1" xr3:uid="{8CECE9ED-1A87-46B7-9A67-A34F31FD1112}" name="ACA Number"/>
    <tableColumn id="2" xr3:uid="{B70E75C2-4CD6-47BC-B3F6-D6AD43A7D2E8}" name="name "/>
    <tableColumn id="3" xr3:uid="{DB9101BD-5A6F-43E0-98FD-B98A75F1654F}" name="Category"/>
    <tableColumn id="4" xr3:uid="{00BCF183-AF93-4413-83A3-CD1877694223}" name="CM GS1 R1" dataDxfId="377">
      <calculatedColumnFormula>_xlfn.XLOOKUP(Table123160166172197[[#This Row],[ACA Number]],Table122110193440526476[NAT Number],Table122110193440526476[run 1 points])</calculatedColumnFormula>
    </tableColumn>
    <tableColumn id="5" xr3:uid="{3914D7E1-DA90-4793-BA46-55B43AB6D84B}" name="CM GS1 R2" dataDxfId="376">
      <calculatedColumnFormula>_xlfn.XLOOKUP(Table123160166172197[[#This Row],[ACA Number]],Table122110193440526476[NAT Number],Table122110193440526476[run 2 points])</calculatedColumnFormula>
    </tableColumn>
    <tableColumn id="6" xr3:uid="{B0F2AC8C-4EB0-41D3-94D4-3CD4568B777C}" name="CM GS2 R1" dataDxfId="375">
      <calculatedColumnFormula>_xlfn.XLOOKUP(Table123160166172197[[#This Row],[ACA Number]],Table122110193440526476112[NAT Number],Table122110193440526476112[run 1 points])</calculatedColumnFormula>
    </tableColumn>
    <tableColumn id="7" xr3:uid="{5F76056B-9A36-4695-9693-D5DA1D985A68}" name="CM GS2 R2" dataDxfId="374">
      <calculatedColumnFormula>_xlfn.XLOOKUP(Table123160166172197[[#This Row],[ACA Number]],Table122110193440526476112[NAT Number],Table122110193440526476112[run 2 points])</calculatedColumnFormula>
    </tableColumn>
    <tableColumn id="8" xr3:uid="{EE2610F0-4087-4DAE-83AD-A9AE0227A80A}" name="MF GS R1" dataDxfId="373">
      <calculatedColumnFormula>_xlfn.XLOOKUP(Table123160166172197[[#This Row],[ACA Number]],Table122110193440526476112118[NAT Number],Table122110193440526476112118[run 1 points])</calculatedColumnFormula>
    </tableColumn>
    <tableColumn id="9" xr3:uid="{59A77857-C7DA-4ACB-AF71-F1D44C776A32}" name="MF GS R2" dataDxfId="372">
      <calculatedColumnFormula>_xlfn.XLOOKUP(Table123160166172197[[#This Row],[ACA Number]],Table122110193440526476112118[NAT Number],Table122110193440526476112118[run 2 points])</calculatedColumnFormula>
    </tableColumn>
    <tableColumn id="10" xr3:uid="{2FD715B6-CFEC-4FEE-9AB9-49F456827FC5}" name="Best 1 Run" dataDxfId="371">
      <calculatedColumnFormula array="1">_xlfn.LET(_xlpm.r,Table123160166172197[[#This Row],[CM GS1 R1]:[MF GS R2]],_xlpm.m,_xlfn.AGGREGATE(15,6,_xlpm.r/(_xlpm.r&lt;&gt;999.99),1),IFERROR(_xlpm.m,999.99))</calculatedColumnFormula>
    </tableColumn>
  </tableColumns>
  <tableStyleInfo name="TableStyleMedium4" showFirstColumn="0" showLastColumn="0" showRowStripes="1" showColumnStripes="0"/>
</table>
</file>

<file path=xl/tables/table4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7" xr:uid="{A69CD227-333E-4E25-8BEC-E08E3A589995}" name="Table124161167173198" displayName="Table124161167173198" ref="AD2:AK8" totalsRowShown="0">
  <autoFilter ref="AD2:AK8" xr:uid="{D3734791-4308-4B60-9978-E73DE653AC01}"/>
  <tableColumns count="8">
    <tableColumn id="1" xr3:uid="{D9568B43-A610-412F-A110-313406D7C14E}" name="ACA Number"/>
    <tableColumn id="2" xr3:uid="{3C7DEFF6-E6AA-4C89-BF8F-6B265A1E074B}" name="name "/>
    <tableColumn id="3" xr3:uid="{8DA65889-44FC-4DC0-A670-75CA536357EE}" name="Category"/>
    <tableColumn id="4" xr3:uid="{A3218EF8-AB75-4DE1-BED7-E4C926B792D6}" name="PM SL1" dataDxfId="370">
      <calculatedColumnFormula>_xlfn.XLOOKUP(Table124161167173198[[#This Row],[ACA Number]],Table122110[NAT Number],Table122110[TT race points])</calculatedColumnFormula>
    </tableColumn>
    <tableColumn id="5" xr3:uid="{C3789D33-34AA-4748-BF7B-146E10E17E0A}" name="PM SL2" dataDxfId="369">
      <calculatedColumnFormula>_xlfn.XLOOKUP(Table124161167173198[[#This Row],[ACA Number]],Table12211019[NAT Number],Table12211019[TT race points])</calculatedColumnFormula>
    </tableColumn>
    <tableColumn id="6" xr3:uid="{CF3A2A64-6987-4152-8C21-EF7FA28C7618}" name="MF SL" dataDxfId="368">
      <calculatedColumnFormula>_xlfn.XLOOKUP(Table124161167173198[[#This Row],[ACA Number]],Table12211019344052647688[NAT Number],Table12211019344052647688[TT race points])</calculatedColumnFormula>
    </tableColumn>
    <tableColumn id="7" xr3:uid="{EBCC6315-C476-4E22-ABB2-6475BA0C0A3A}" name="Best result" dataDxfId="367">
      <calculatedColumnFormula array="1">_xlfn.LET(_xlpm.r,Table124161167173198[[#This Row],[PM SL1]:[MF SL]],_xlpm.m,_xlfn.AGGREGATE(15,6,_xlpm.r/(_xlpm.r&lt;&gt;999.99),1),IFERROR(_xlpm.m,999.99))</calculatedColumnFormula>
    </tableColumn>
    <tableColumn id="8" xr3:uid="{DC7FCEE1-9E79-4746-8418-3B063232DD6C}" name="2nd Best Result" dataDxfId="366">
      <calculatedColumnFormula array="1">_xlfn.LET(_xlpm.r,Table124161167173198[[#This Row],[PM SL1]:[MF SL]],_xlpm.m,_xlfn.AGGREGATE(15,6,_xlpm.r/(_xlpm.r&lt;&gt;999.99),2),IFERROR(_xlpm.m,999.99))</calculatedColumnFormula>
    </tableColumn>
  </tableColumns>
  <tableStyleInfo name="TableStyleMedium2" showFirstColumn="0" showLastColumn="0" showRowStripes="1" showColumnStripes="0"/>
</table>
</file>

<file path=xl/tables/table4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8" xr:uid="{27D93AC8-99B1-4F97-900C-A8221A4F6F3F}" name="Table125162168174199" displayName="Table125162168174199" ref="AM2:AT8" totalsRowShown="0">
  <autoFilter ref="AM2:AT8" xr:uid="{043FEDCE-DECA-4CD2-98DF-9938874C3A11}"/>
  <tableColumns count="8">
    <tableColumn id="1" xr3:uid="{23B3D2E8-B067-4F92-9D6A-2AE53E4D8447}" name="ACA Number"/>
    <tableColumn id="2" xr3:uid="{4125073E-C2EC-4DD8-85F6-91CDFEA7FB1E}" name="name "/>
    <tableColumn id="3" xr3:uid="{F0305E36-30A5-42D4-9292-5EADC75F936E}" name="Category"/>
    <tableColumn id="4" xr3:uid="{0BB3E687-F492-4EB2-91B5-4FE002E41702}" name="CM GS1" dataDxfId="365">
      <calculatedColumnFormula>_xlfn.XLOOKUP(Table125162168174199[[#This Row],[ACA Number]],Table122110193440526476[NAT Number],Table122110193440526476[TT race points])</calculatedColumnFormula>
    </tableColumn>
    <tableColumn id="5" xr3:uid="{D685C463-DF97-4091-B301-96A89E4A391B}" name="CM GS2" dataDxfId="364">
      <calculatedColumnFormula>_xlfn.XLOOKUP(Table125162168174199[[#This Row],[ACA Number]],Table122110193440526476112[NAT Number],Table122110193440526476112[TT race points])</calculatedColumnFormula>
    </tableColumn>
    <tableColumn id="6" xr3:uid="{8B71DFA4-29F2-4A00-97C7-8CF70E5CD40D}" name="MF GS" dataDxfId="363">
      <calculatedColumnFormula>_xlfn.XLOOKUP(Table125162168174199[[#This Row],[ACA Number]],Table122110193440526476112118[NAT Number],Table122110193440526476112118[TT race points])</calculatedColumnFormula>
    </tableColumn>
    <tableColumn id="7" xr3:uid="{5B1F1438-4036-415B-9A62-241D934F17D6}" name="Best result" dataDxfId="362">
      <calculatedColumnFormula array="1">_xlfn.LET(_xlpm.r,Table125162168174199[[#This Row],[CM GS1]:[MF GS]],_xlpm.m,_xlfn.AGGREGATE(15,6,_xlpm.r/(_xlpm.r&lt;&gt;999.99),1),IFERROR(_xlpm.m,999.99))</calculatedColumnFormula>
    </tableColumn>
    <tableColumn id="8" xr3:uid="{07EBB686-50D0-4DE7-954F-86706112E6E3}" name="2nd Best Result" dataDxfId="361">
      <calculatedColumnFormula array="1">_xlfn.LET(_xlpm.r,Table125162168174199[[#This Row],[CM GS1]:[MF GS]],_xlpm.m,_xlfn.AGGREGATE(15,6,_xlpm.r/(_xlpm.r&lt;&gt;999.99),2),IFERROR(_xlpm.m,999.99))</calculatedColumnFormula>
    </tableColumn>
  </tableColumns>
  <tableStyleInfo name="TableStyleMedium4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6" xr:uid="{27A8F9EE-9C71-4CDB-8EB4-F88F4F3DAF70}" name="Table121177" displayName="Table121177" ref="A2:J20" totalsRowShown="0">
  <autoFilter ref="A2:J20" xr:uid="{85C0A356-491F-445E-A4A9-9FE52FC76524}"/>
  <sortState xmlns:xlrd2="http://schemas.microsoft.com/office/spreadsheetml/2017/richdata2" ref="A3:J20">
    <sortCondition ref="J2:J20"/>
  </sortState>
  <tableColumns count="10">
    <tableColumn id="1" xr3:uid="{E567089D-4A9B-4509-BBA3-E1CC9049F708}" name="ACA Number"/>
    <tableColumn id="2" xr3:uid="{EBE90DAA-1321-4415-A5D0-60496D8D2F75}" name="name "/>
    <tableColumn id="3" xr3:uid="{2A4228F7-CEEE-478E-886E-99F5FFE58524}" name="Category"/>
    <tableColumn id="4" xr3:uid="{78BF04E6-A5C5-4A66-8682-D38B0FC02A80}" name="PM SL1 R1" dataDxfId="631">
      <calculatedColumnFormula>_xlfn.XLOOKUP(Table121177[[#This Row],[ACA Number]],Table12[NAT Number],Table12[run 1 points])</calculatedColumnFormula>
    </tableColumn>
    <tableColumn id="5" xr3:uid="{42344F7C-F6ED-4D6C-93AC-315C9A598F30}" name="PM SL1 R2" dataDxfId="630">
      <calculatedColumnFormula>_xlfn.XLOOKUP(Table121177[[#This Row],[ACA Number]],Table12[NAT Number],Table12[run 2 points])</calculatedColumnFormula>
    </tableColumn>
    <tableColumn id="6" xr3:uid="{48118F17-A4A1-433B-A8E2-0BA01F3C7567}" name="PM SL2 R1" dataDxfId="629">
      <calculatedColumnFormula>_xlfn.XLOOKUP(Table121177[[#This Row],[ACA Number]],Table1225[NAT Number],Table1225[run 1 points])</calculatedColumnFormula>
    </tableColumn>
    <tableColumn id="7" xr3:uid="{CDA5AAEE-CC86-43F4-8358-F6FC18913070}" name="PM SL2 R2" dataDxfId="628">
      <calculatedColumnFormula>_xlfn.XLOOKUP(Table121177[[#This Row],[ACA Number]],Table1225[NAT Number],Table1225[run 2 points])</calculatedColumnFormula>
    </tableColumn>
    <tableColumn id="8" xr3:uid="{B7721A69-9CA8-431A-9E5C-2E0616B39F72}" name="MF SL1 R1" dataDxfId="627">
      <calculatedColumnFormula>_xlfn.XLOOKUP(Table121177[[#This Row],[ACA Number]],Table127163143556779[NAT Number],Table127163143556779[run 1 points])</calculatedColumnFormula>
    </tableColumn>
    <tableColumn id="9" xr3:uid="{2870B2EB-582A-4F3C-B4C3-4833F4BB32C9}" name="MF SL1 R2" dataDxfId="626">
      <calculatedColumnFormula>_xlfn.XLOOKUP(Table121177[[#This Row],[ACA Number]],Table127163143556779[NAT Number],Table127163143556779[run 2 points])</calculatedColumnFormula>
    </tableColumn>
    <tableColumn id="10" xr3:uid="{6B7CBA38-E3EF-4514-AD3E-E3499BC1187D}" name="Best 1 run SL race" dataDxfId="625">
      <calculatedColumnFormula array="1">_xlfn.LET(_xlpm.r,Table121177[[#This Row],[PM SL1 R1]:[MF SL1 R2]],_xlpm.m,_xlfn.AGGREGATE(15,6,_xlpm.r/(_xlpm.r&lt;&gt;999.99),1),IFERROR(_xlpm.m,999.99))</calculatedColumnFormula>
    </tableColumn>
  </tableColumns>
  <tableStyleInfo name="TableStyleMedium2" showFirstColumn="0" showLastColumn="0" showRowStripes="1" showColumnStripes="0"/>
</table>
</file>

<file path=xl/tables/table5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9" xr:uid="{7AE7C2AF-8093-4AC7-8718-ADFCB34E14BD}" name="Table126163169175200" displayName="Table126163169175200" ref="AV2:BG8" totalsRowShown="0">
  <autoFilter ref="AV2:BG8" xr:uid="{5869560C-5090-4E74-ACA4-FC05EEFA980A}"/>
  <sortState xmlns:xlrd2="http://schemas.microsoft.com/office/spreadsheetml/2017/richdata2" ref="AV3:BG8">
    <sortCondition ref="BG2:BG8"/>
  </sortState>
  <tableColumns count="12">
    <tableColumn id="1" xr3:uid="{24AD20F2-B3F8-4E7F-BC8F-AFAFDF0B7CC7}" name="ACA Number"/>
    <tableColumn id="2" xr3:uid="{AAEA92C0-459E-453B-8D3C-EEB6394DDD2F}" name="name "/>
    <tableColumn id="3" xr3:uid="{3A033A68-EC94-4115-BF65-0327828DF266}" name="Category"/>
    <tableColumn id="4" xr3:uid="{F8CC7629-44AC-4873-BC8E-F2468E878DC5}" name="SL 1 run" dataDxfId="360">
      <calculatedColumnFormula>_xlfn.XLOOKUP(Table126163169175200[[#This Row],[ACA Number]],Table121158164170195[ACA Number],Table121158164170195[Best 1 run SL race])</calculatedColumnFormula>
    </tableColumn>
    <tableColumn id="5" xr3:uid="{39966204-E336-4565-98BA-61515BEF5B34}" name="GS 1 Run" dataDxfId="359">
      <calculatedColumnFormula>_xlfn.XLOOKUP(Table126163169175200[[#This Row],[ACA Number]],Table123160166172197[ACA Number],Table123160166172197[Best 1 Run])</calculatedColumnFormula>
    </tableColumn>
    <tableColumn id="6" xr3:uid="{75C1DF73-0F5F-46DA-9D2C-F0D87C0AA03C}" name="SG race" dataDxfId="358">
      <calculatedColumnFormula>_xlfn.XLOOKUP(Table126163169175200[[#This Row],[ACA Number]],Table122159165171196[ACA Number],Table122159165171196[Best 1 run GS Race])</calculatedColumnFormula>
    </tableColumn>
    <tableColumn id="7" xr3:uid="{150DE927-59A2-4313-B543-B9C57F25F08C}" name="Best SL race" dataDxfId="357">
      <calculatedColumnFormula>_xlfn.XLOOKUP(Table126163169175200[[#This Row],[ACA Number]],Table124161167173198[ACA Number],Table124161167173198[Best result],)</calculatedColumnFormula>
    </tableColumn>
    <tableColumn id="8" xr3:uid="{DBDB8E2E-1BE1-4845-9A73-6E5CE0CA93BD}" name="2nd Best SL race" dataDxfId="356">
      <calculatedColumnFormula>_xlfn.XLOOKUP(Table126163169175200[[#This Row],[ACA Number]],Table124161167173198[ACA Number],Table124161167173198[2nd Best Result])</calculatedColumnFormula>
    </tableColumn>
    <tableColumn id="9" xr3:uid="{5D0F8D6E-8C49-4A27-953A-D9CC492E8486}" name="Best GS race" dataDxfId="355">
      <calculatedColumnFormula>_xlfn.XLOOKUP(Table126163169175200[[#This Row],[ACA Number]],Table125162168174199[ACA Number],Table125162168174199[Best result])</calculatedColumnFormula>
    </tableColumn>
    <tableColumn id="10" xr3:uid="{6B9D091D-C3C8-4A19-A02A-3FADE0B7FF04}" name="2nd Best GS race" dataDxfId="354">
      <calculatedColumnFormula>_xlfn.XLOOKUP(Table126163169175200[[#This Row],[ACA Number]],Table125162168174199[ACA Number],Table125162168174199[2nd Best Result])</calculatedColumnFormula>
    </tableColumn>
    <tableColumn id="11" xr3:uid="{52BF3585-D780-4B4B-93F3-B3E83A7C880E}" name="Total Points" dataDxfId="353">
      <calculatedColumnFormula>SUM(AY3:BE3)</calculatedColumnFormula>
    </tableColumn>
    <tableColumn id="12" xr3:uid="{BFEB07CE-0E94-481B-87C9-23CF42FD575F}" name="Position" dataDxfId="352">
      <calculatedColumnFormula>_xlfn.RANK.EQ(Table126163169175200[[#This Row],[Total Points]],Table126163169175200[Total Points],1)</calculatedColumnFormula>
    </tableColumn>
  </tableColumns>
  <tableStyleInfo name="TableStyleMedium5" showFirstColumn="0" showLastColumn="0" showRowStripes="1" showColumnStripes="0"/>
</table>
</file>

<file path=xl/tables/table5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91B2D5C3-BD49-4471-9D0D-DD813957B41A}" name="Table12" displayName="Table12" ref="A2:Q58" totalsRowShown="0">
  <autoFilter ref="A2:Q58" xr:uid="{91B2D5C3-BD49-4471-9D0D-DD813957B41A}"/>
  <sortState xmlns:xlrd2="http://schemas.microsoft.com/office/spreadsheetml/2017/richdata2" ref="A3:Q58">
    <sortCondition ref="K2:K58"/>
  </sortState>
  <tableColumns count="17">
    <tableColumn id="1" xr3:uid="{7ACCDE90-EA3C-4180-BF96-129CA81D01C7}" name="Start Number"/>
    <tableColumn id="2" xr3:uid="{AB63DBA8-E6CB-4686-914D-F57ED096AE03}" name="Bib"/>
    <tableColumn id="3" xr3:uid="{409E06B6-A6EB-4C72-A297-D56B46888759}" name="Club/Quota"/>
    <tableColumn id="4" xr3:uid="{6AE64F28-C221-42D6-A02E-6FBDF4698D21}" name="Class"/>
    <tableColumn id="5" xr3:uid="{727E7C2A-7CF1-4BF4-97DF-9CB57CC715FF}" name="Full Name"/>
    <tableColumn id="6" xr3:uid="{0C6E3A41-27CA-4440-9C2D-43423D938B16}" name="Year of Birth"/>
    <tableColumn id="7" xr3:uid="{B293C016-E4C6-43AB-BABD-9901F097832B}" name="First Run Result" dataDxfId="351"/>
    <tableColumn id="8" xr3:uid="{77801781-2014-4DBC-83DC-3287475F8A38}" name="Second Run Result" dataDxfId="350"/>
    <tableColumn id="9" xr3:uid="{FB208F81-D204-4528-9E4C-CA72732ED9CD}" name="Combined Result" dataDxfId="349"/>
    <tableColumn id="10" xr3:uid="{F6819671-EB4C-4B81-A7E1-68194D5A0CE5}" name="FIS Number"/>
    <tableColumn id="11" xr3:uid="{5C761710-019B-4488-99E5-8B76866C76E0}" name="NAT Number"/>
    <tableColumn id="12" xr3:uid="{C660F9BB-A805-4836-B69F-0D1E98E29969}" name="run 1 times" dataDxfId="348">
      <calculatedColumnFormula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3" xr3:uid="{C39F4C74-5D0F-434E-8FBD-2BBB57B192E9}" name="run 1 points" dataDxfId="347">
      <calculatedColumnFormula>IF(Table12[[#This Row],[run 1 times]]="",999.99,IF(Table12[[#This Row],[run 1 times]]=$S$3,0,MAX(0,ROUND(((Table12[[#This Row],[run 1 times]]-$S$3)/$S$3)*$S$6,2))))</calculatedColumnFormula>
    </tableColumn>
    <tableColumn id="14" xr3:uid="{C04D0E21-CD9E-4BFA-93AC-7395713BFECE}" name="run2 times" dataDxfId="346">
      <calculatedColumnFormula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5" xr3:uid="{E01BB30A-6976-49E9-83C8-117C6F06BC60}" name="run 2 points" dataDxfId="345">
      <calculatedColumnFormula>IF(Table12[[#This Row],[run2 times]]="",999.99,IF(Table12[[#This Row],[run2 times]]=$T$3,0,MAX(0,ROUND(((Table12[[#This Row],[run2 times]]-$T$3)/$T$3)*$S$6,2))))</calculatedColumnFormula>
    </tableColumn>
    <tableColumn id="16" xr3:uid="{5AB6A77B-BFA8-43D1-A9D8-0210A130BAB8}" name="total time" dataDxfId="344">
      <calculatedColumnFormula>IF(OR(Table12[[#This Row],[run 1 times]]="",Table12[[#This Row],[run2 times]]=""),"",Table12[[#This Row],[run 1 times]]+Table12[[#This Row],[run2 times]])</calculatedColumnFormula>
    </tableColumn>
    <tableColumn id="17" xr3:uid="{D509E26B-6DAF-457C-9B29-E1F01588D159}" name="TT race points" dataDxfId="343">
      <calculatedColumnFormula>IF(Table12[[#This Row],[total time]]="",999.99,IF(Table12[[#This Row],[total time]]=$U$3,0,MAX(0,ROUND(((Table12[[#This Row],[total time]]-$U$3)/$U$3)*$S$6,2))))</calculatedColumnFormula>
    </tableColumn>
  </tableColumns>
  <tableStyleInfo name="TableStyleMedium2" showFirstColumn="0" showLastColumn="0" showRowStripes="1" showColumnStripes="0"/>
</table>
</file>

<file path=xl/tables/table5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1E967C82-9863-4FB8-B686-759949E1096A}" name="Table13" displayName="Table13" ref="S2:U3" totalsRowShown="0" dataDxfId="342">
  <autoFilter ref="S2:U3" xr:uid="{1E967C82-9863-4FB8-B686-759949E1096A}"/>
  <tableColumns count="3">
    <tableColumn id="1" xr3:uid="{3AF262AD-725A-49FB-BF10-A598C1D5C226}" name="run 1 best time" dataDxfId="341">
      <calculatedColumnFormula>MIN(Table12[run 1 times])</calculatedColumnFormula>
    </tableColumn>
    <tableColumn id="2" xr3:uid="{F6F15C1B-E817-4292-A8D5-46686F8B8453}" name="run 1 best time2" dataDxfId="340">
      <calculatedColumnFormula>MIN(Table12[run2 times])</calculatedColumnFormula>
    </tableColumn>
    <tableColumn id="3" xr3:uid="{ADEB67BD-92EB-4D12-913E-B1BE72910484}" name="combined best time" dataDxfId="339">
      <calculatedColumnFormula>MIN(Table12[total time])</calculatedColumnFormula>
    </tableColumn>
  </tableColumns>
  <tableStyleInfo name="TableStyleMedium4" showFirstColumn="0" showLastColumn="0" showRowStripes="1" showColumnStripes="0"/>
</table>
</file>

<file path=xl/tables/table5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8A7932AC-08B3-45BE-A62F-71E99F9C6FCB}" name="Table14" displayName="Table14" ref="S5:U6" totalsRowShown="0">
  <autoFilter ref="S5:U6" xr:uid="{8A7932AC-08B3-45BE-A62F-71E99F9C6FCB}"/>
  <tableColumns count="3">
    <tableColumn id="1" xr3:uid="{839105E2-F740-4E70-BEF9-398C6F4D69D1}" name="Slalom Factor"/>
    <tableColumn id="2" xr3:uid="{CE603BCE-8FF5-428B-8618-9FFC78B29067}" name="GS Factor"/>
    <tableColumn id="3" xr3:uid="{8378CA77-01DD-473C-B95E-7270B89263D1}" name="SG Factor"/>
  </tableColumns>
  <tableStyleInfo name="TableStyleMedium3" showFirstColumn="0" showLastColumn="0" showRowStripes="1" showColumnStripes="0"/>
</table>
</file>

<file path=xl/tables/table5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5C573A4F-9860-45EF-8B7A-2953F0241575}" name="Table1221" displayName="Table1221" ref="W2:AM33" totalsRowShown="0">
  <autoFilter ref="W2:AM33" xr:uid="{5C573A4F-9860-45EF-8B7A-2953F0241575}"/>
  <sortState xmlns:xlrd2="http://schemas.microsoft.com/office/spreadsheetml/2017/richdata2" ref="W3:AM6">
    <sortCondition ref="AH2:AH6"/>
  </sortState>
  <tableColumns count="17">
    <tableColumn id="1" xr3:uid="{3DD5A959-0DDA-4532-8141-8A6ED4F71815}" name="Start Number"/>
    <tableColumn id="2" xr3:uid="{BF850A08-C892-4F0C-A774-F37AEABCD09B}" name="Bib"/>
    <tableColumn id="3" xr3:uid="{07C1F793-A69B-4F02-82D6-9FC96A3A35C3}" name="Club/Quota"/>
    <tableColumn id="4" xr3:uid="{B95B7395-4E6C-41B3-A543-6996135FE670}" name="Class"/>
    <tableColumn id="5" xr3:uid="{1615686C-5DD0-454B-8C33-1D94C90E59CF}" name="Full Name"/>
    <tableColumn id="6" xr3:uid="{1C3486C6-4137-49D4-8D14-A614340B75E6}" name="Year of Birth"/>
    <tableColumn id="7" xr3:uid="{A89816CF-B28E-49DF-96AB-C0F93F0A100A}" name="First Run Result" dataDxfId="338"/>
    <tableColumn id="8" xr3:uid="{2AD98249-3A57-46F0-8E71-6EA612BDC4A5}" name="Second Run Result" dataDxfId="337"/>
    <tableColumn id="9" xr3:uid="{653F11D2-8455-4181-9492-0E2EE8020D5A}" name="Combined Result" dataDxfId="336"/>
    <tableColumn id="10" xr3:uid="{8C51A335-8328-4319-B1BE-6E06BA9A878F}" name="FIS Number"/>
    <tableColumn id="11" xr3:uid="{D15133E7-D35B-408D-BC5F-192A38789F52}" name="NAT Number"/>
    <tableColumn id="12" xr3:uid="{47BEAF63-E905-430A-88BE-4D623AC79070}" name="run 1 times" dataDxfId="335">
      <calculatedColumnFormula>_xlfn.LET(_xlpm.x,Table1221[[#This Row],[First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3" xr3:uid="{AE75522A-E51B-4AD8-87B0-2C37ED613076}" name="run 1 points" dataDxfId="334">
      <calculatedColumnFormula>IF(Table1221[[#This Row],[run 1 times]]="",999.99,IF(Table1221[[#This Row],[run 1 times]]=$AO$3,0,MAX(0,ROUND(((Table1221[[#This Row],[run 1 times]]-$AO$3)/$AO$3)*$AO$6,2))))</calculatedColumnFormula>
    </tableColumn>
    <tableColumn id="14" xr3:uid="{A90D45C2-45BE-422B-9E67-9260E70C832D}" name="run2 times" dataDxfId="333">
      <calculatedColumnFormula>_xlfn.LET(_xlpm.x,Table1221[[#This Row],[Second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5" xr3:uid="{9AB560F5-8AE6-4F7D-858D-62884801FFB2}" name="run 2 points" dataDxfId="332">
      <calculatedColumnFormula>IF(Table1221[[#This Row],[run2 times]]="",999.99,IF(Table1221[[#This Row],[run2 times]]=$AP$3,0,MAX(0,ROUND(((Table1221[[#This Row],[run2 times]]-$AP$3)/$AP$3)*$AO$6,2))))</calculatedColumnFormula>
    </tableColumn>
    <tableColumn id="16" xr3:uid="{AE585EB5-EA48-4AAA-8B7E-DD99EE9D1F32}" name="total time" dataDxfId="331">
      <calculatedColumnFormula>IF(OR(Table1221[[#This Row],[run 1 times]]="",Table1221[[#This Row],[run2 times]]=""),"",Table1221[[#This Row],[run 1 times]]+Table1221[[#This Row],[run2 times]])</calculatedColumnFormula>
    </tableColumn>
    <tableColumn id="17" xr3:uid="{91D21DB0-4104-42D3-8A55-B39CF7452628}" name="TT race points" dataDxfId="330">
      <calculatedColumnFormula>IF(Table1221[[#This Row],[total time]]="",999.99,IF(Table1221[[#This Row],[total time]]=$AQ$3,0,MAX(0,ROUND(((Table1221[[#This Row],[total time]]-$AQ$3)/$AQ$3)*$AO$6,2))))</calculatedColumnFormula>
    </tableColumn>
  </tableColumns>
  <tableStyleInfo name="TableStyleMedium2" showFirstColumn="0" showLastColumn="0" showRowStripes="1" showColumnStripes="0"/>
</table>
</file>

<file path=xl/tables/table5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1E9C9419-73B1-4B02-B3E7-CFAF1623B428}" name="Table1322" displayName="Table1322" ref="AO2:AQ3" totalsRowShown="0" dataDxfId="329">
  <autoFilter ref="AO2:AQ3" xr:uid="{1E9C9419-73B1-4B02-B3E7-CFAF1623B428}"/>
  <tableColumns count="3">
    <tableColumn id="1" xr3:uid="{B65F96E9-0044-4F45-9F04-EF4976A6FF21}" name="run 1 best time" dataDxfId="328">
      <calculatedColumnFormula>MIN(Table1221[run 1 times])</calculatedColumnFormula>
    </tableColumn>
    <tableColumn id="2" xr3:uid="{FB877AAA-EF6F-44CD-8718-8E9C1FE04FC9}" name="run 1 best time2" dataDxfId="327">
      <calculatedColumnFormula>MIN(Table1221[run2 times])</calculatedColumnFormula>
    </tableColumn>
    <tableColumn id="3" xr3:uid="{1923FBBF-9CC3-4534-9D46-CA5C3B74E95D}" name="combined best time" dataDxfId="326">
      <calculatedColumnFormula>MIN(Table1221[total time])</calculatedColumnFormula>
    </tableColumn>
  </tableColumns>
  <tableStyleInfo name="TableStyleMedium4" showFirstColumn="0" showLastColumn="0" showRowStripes="1" showColumnStripes="0"/>
</table>
</file>

<file path=xl/tables/table5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8B09D38B-D3CE-4490-A64E-0B065C702DDC}" name="Table1423" displayName="Table1423" ref="AO5:AQ6" totalsRowShown="0">
  <autoFilter ref="AO5:AQ6" xr:uid="{8B09D38B-D3CE-4490-A64E-0B065C702DDC}"/>
  <tableColumns count="3">
    <tableColumn id="1" xr3:uid="{BC560AE5-230D-489C-B418-81A322C6989F}" name="Slalom Factor"/>
    <tableColumn id="2" xr3:uid="{8C5A7CE0-CAB4-410B-BDC3-15F3FA9EFB9B}" name="GS Factor"/>
    <tableColumn id="3" xr3:uid="{AC35297E-61F1-40CA-8F24-53C7F584929F}" name="SG Factor"/>
  </tableColumns>
  <tableStyleInfo name="TableStyleMedium3" showFirstColumn="0" showLastColumn="0" showRowStripes="1" showColumnStripes="0"/>
</table>
</file>

<file path=xl/tables/table5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ADAE73AD-0D45-42A2-A651-456F9609C494}" name="Table127" displayName="Table127" ref="A2:Q49" totalsRowShown="0">
  <autoFilter ref="A2:Q49" xr:uid="{91B2D5C3-BD49-4471-9D0D-DD813957B41A}"/>
  <sortState xmlns:xlrd2="http://schemas.microsoft.com/office/spreadsheetml/2017/richdata2" ref="A3:Q49">
    <sortCondition ref="D2:D49"/>
  </sortState>
  <tableColumns count="17">
    <tableColumn id="1" xr3:uid="{5171A340-F6B1-4653-BFB8-FFCEDA9A3D6C}" name="Start Number"/>
    <tableColumn id="2" xr3:uid="{B0E597C7-D9D5-4B25-9C7C-388C98ED5028}" name="Bib"/>
    <tableColumn id="3" xr3:uid="{77CECE21-B820-4059-8307-91B1DD5569C5}" name="Club/Quota"/>
    <tableColumn id="4" xr3:uid="{079F8AF3-E8DE-4D1C-9D4A-A0A158D55891}" name="Class"/>
    <tableColumn id="5" xr3:uid="{1B3889BE-5EAD-4253-9D5B-CBEA6C501165}" name="Full Name"/>
    <tableColumn id="6" xr3:uid="{CA049C1D-9368-493E-BAFE-2BDBAA219EA0}" name="Year of Birth"/>
    <tableColumn id="7" xr3:uid="{D0BD0110-8158-4CC9-B36B-9C2AB6F0B2D3}" name="First Run Result" dataDxfId="325"/>
    <tableColumn id="8" xr3:uid="{B91A6F95-F476-4B6B-AE0B-601ACDD2E801}" name="Second Run Result" dataDxfId="324"/>
    <tableColumn id="9" xr3:uid="{C5236237-3D3A-491D-AFEA-C6A46ABDE128}" name="Combined Result" dataDxfId="323"/>
    <tableColumn id="10" xr3:uid="{22D2399E-A5CB-4544-A431-6E2F714A9605}" name="FIS Number"/>
    <tableColumn id="11" xr3:uid="{64B49A0B-CB22-441D-B15E-1DCA002E4344}" name="NAT Number"/>
    <tableColumn id="12" xr3:uid="{AC2F5B62-3FAC-4682-A197-1AF7A8121CF0}" name="run 1 times" dataDxfId="322">
      <calculatedColumnFormula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3" xr3:uid="{D589BAF7-92E8-40B1-BA16-7B67BFFB6F4F}" name="run 1 points" dataDxfId="321">
      <calculatedColumnFormula>IF(Table127[[#This Row],[run 1 times]]="",999.99,IF(Table127[[#This Row],[run 1 times]]=$S$3,0,MAX(0,ROUND(((Table127[[#This Row],[run 1 times]]-$S$3)/$S$3)*$S$6,2))))</calculatedColumnFormula>
    </tableColumn>
    <tableColumn id="14" xr3:uid="{AA124176-EE6D-4313-8D05-8632B66E5A78}" name="run2 times" dataDxfId="320">
      <calculatedColumnFormula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5" xr3:uid="{3EB02138-CF63-44B1-BDAD-DB95008A67E1}" name="run 2 points" dataDxfId="319">
      <calculatedColumnFormula>IF(Table127[[#This Row],[run2 times]]="",999.99,IF(Table127[[#This Row],[run2 times]]=$T$3,0,MAX(0,ROUND(((Table127[[#This Row],[run2 times]]-$T$3)/$T$3)*$S$6,2))))</calculatedColumnFormula>
    </tableColumn>
    <tableColumn id="16" xr3:uid="{2AE8328B-48D3-4B8D-88EF-DDEA72DA93EB}" name="total time" dataDxfId="318">
      <calculatedColumnFormula>IF(OR(Table127[[#This Row],[run 1 times]]="",Table127[[#This Row],[run2 times]]=""),"",Table127[[#This Row],[run 1 times]]+Table127[[#This Row],[run2 times]])</calculatedColumnFormula>
    </tableColumn>
    <tableColumn id="17" xr3:uid="{59BCF458-554B-4B2D-9E5E-D946042E14A4}" name="TT race points" dataDxfId="317">
      <calculatedColumnFormula>IF(Table127[[#This Row],[total time]]="",999.99,IF(Table127[[#This Row],[total time]]=$U$3,0,MAX(0,ROUND(((Table127[[#This Row],[total time]]-$U$3)/$U$3)*$S$6,2))))</calculatedColumnFormula>
    </tableColumn>
  </tableColumns>
  <tableStyleInfo name="TableStyleMedium2" showFirstColumn="0" showLastColumn="0" showRowStripes="1" showColumnStripes="0"/>
</table>
</file>

<file path=xl/tables/table5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7C874EA7-DC25-452C-93A2-99D9AA904B19}" name="Table138" displayName="Table138" ref="S2:U3" totalsRowShown="0" dataDxfId="316">
  <autoFilter ref="S2:U3" xr:uid="{1E967C82-9863-4FB8-B686-759949E1096A}"/>
  <tableColumns count="3">
    <tableColumn id="1" xr3:uid="{4FB4BF5C-0140-49CB-BD19-F00372C2F751}" name="run 1 best time" dataDxfId="315">
      <calculatedColumnFormula>MIN(Table127[run 1 times])</calculatedColumnFormula>
    </tableColumn>
    <tableColumn id="2" xr3:uid="{B3ECAC15-00CD-43B1-8C26-1198F7D387BF}" name="run 1 best time2" dataDxfId="314">
      <calculatedColumnFormula>MIN(Table127[run2 times])</calculatedColumnFormula>
    </tableColumn>
    <tableColumn id="3" xr3:uid="{F5703757-6007-4306-83F4-11E5E622A386}" name="combined best time" dataDxfId="313">
      <calculatedColumnFormula>MIN(Table127[total time])</calculatedColumnFormula>
    </tableColumn>
  </tableColumns>
  <tableStyleInfo name="TableStyleMedium4" showFirstColumn="0" showLastColumn="0" showRowStripes="1" showColumnStripes="0"/>
</table>
</file>

<file path=xl/tables/table5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2DE75533-D4E5-4426-9286-7CA88ED9A405}" name="Table149" displayName="Table149" ref="S5:U6" totalsRowShown="0">
  <autoFilter ref="S5:U6" xr:uid="{8A7932AC-08B3-45BE-A62F-71E99F9C6FCB}"/>
  <tableColumns count="3">
    <tableColumn id="1" xr3:uid="{E37851B1-3FF6-48C8-9C37-30FEDDF06A9F}" name="Slalom Factor"/>
    <tableColumn id="2" xr3:uid="{725EA3BB-F637-471A-9FA9-57AB4ED1B4D5}" name="GS Factor"/>
    <tableColumn id="3" xr3:uid="{0C3892FA-BD1E-4DCB-B0EE-003ED927BDE2}" name="SG Factor"/>
  </tableColumns>
  <tableStyleInfo name="TableStyleMedium3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8" xr:uid="{C67E3FFC-286D-40CB-A915-706C15B5E39D}" name="Table123179" displayName="Table123179" ref="L2:U20" totalsRowShown="0">
  <autoFilter ref="L2:U20" xr:uid="{7EB29342-CFCE-47CD-B3C4-FA634C2F4C22}"/>
  <tableColumns count="10">
    <tableColumn id="1" xr3:uid="{8C9741C9-F991-42BC-AA1A-08F6594E9A91}" name="ACA Number"/>
    <tableColumn id="2" xr3:uid="{2A99A1C8-A71D-46FD-B7B1-A3EC6686CF0F}" name="name "/>
    <tableColumn id="3" xr3:uid="{5DEC22A2-1C1F-4D04-A3E6-02F095D6F066}" name="Category"/>
    <tableColumn id="4" xr3:uid="{F61701FA-B48C-4285-AA3B-C2F4825C0F5D}" name="CM GS1 R1" dataDxfId="624">
      <calculatedColumnFormula>_xlfn.XLOOKUP(Table123179[[#This Row],[ACA Number]],Table127163143556797103[NAT Number],Table127163143556797103[run 1 points])</calculatedColumnFormula>
    </tableColumn>
    <tableColumn id="5" xr3:uid="{B22861DB-46CA-4672-B939-47EA67C6EF18}" name="CM GS1 R2" dataDxfId="623">
      <calculatedColumnFormula>_xlfn.XLOOKUP(Table123179[[#This Row],[ACA Number]],Table127163143556797103[NAT Number],Table127163143556797103[run 2 points])</calculatedColumnFormula>
    </tableColumn>
    <tableColumn id="6" xr3:uid="{0E3D1FFF-66DE-47C7-B7F2-E75110F2CCA3}" name="CM GS2 R1" dataDxfId="622">
      <calculatedColumnFormula>_xlfn.XLOOKUP(Table123179[[#This Row],[ACA Number]],Table127163143556797[NAT Number],Table127163143556797[run 1 points])</calculatedColumnFormula>
    </tableColumn>
    <tableColumn id="7" xr3:uid="{076FECF1-82F8-416F-B066-F392D11444F3}" name="CM GS2 R2" dataDxfId="621">
      <calculatedColumnFormula>_xlfn.XLOOKUP(Table123179[[#This Row],[ACA Number]],Table127163143556797[NAT Number],Table127163143556797[run 2 points])</calculatedColumnFormula>
    </tableColumn>
    <tableColumn id="8" xr3:uid="{2C372CA1-C86F-41D5-B425-30CDB448EBE1}" name="MF GS R1" dataDxfId="620">
      <calculatedColumnFormula>_xlfn.XLOOKUP(Table123179[[#This Row],[ACA Number]],Table1271631435567[NAT Number],Table1271631435567[run 1 points])</calculatedColumnFormula>
    </tableColumn>
    <tableColumn id="9" xr3:uid="{0EA2F9A6-1AD9-4C08-9A11-50DBC42216DA}" name="MF GS R2" dataDxfId="619">
      <calculatedColumnFormula>_xlfn.XLOOKUP(Table123179[[#This Row],[ACA Number]],Table1271631435567[NAT Number],Table1271631435567[run 2 points])</calculatedColumnFormula>
    </tableColumn>
    <tableColumn id="10" xr3:uid="{42FD56EA-DBC0-407C-A00D-DA7FF6367925}" name="Best 1 Run" dataDxfId="618">
      <calculatedColumnFormula array="1">_xlfn.LET(_xlpm.r,Table123179[[#This Row],[CM GS1 R1]:[MF GS R2]],_xlpm.m,_xlfn.AGGREGATE(15,6,_xlpm.r/(_xlpm.r&lt;&gt;999.99),1),IFERROR(_xlpm.m,999.99))</calculatedColumnFormula>
    </tableColumn>
  </tableColumns>
  <tableStyleInfo name="TableStyleMedium4" showFirstColumn="0" showLastColumn="0" showRowStripes="1" showColumnStripes="0"/>
</table>
</file>

<file path=xl/tables/table6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C689C7B-4FBC-4B4A-9583-F7EE627F72E8}" name="Table122110" displayName="Table122110" ref="W2:AM30" totalsRowShown="0">
  <autoFilter ref="W2:AM30" xr:uid="{5C573A4F-9860-45EF-8B7A-2953F0241575}"/>
  <sortState xmlns:xlrd2="http://schemas.microsoft.com/office/spreadsheetml/2017/richdata2" ref="W3:AM30">
    <sortCondition ref="W2:W30"/>
  </sortState>
  <tableColumns count="17">
    <tableColumn id="1" xr3:uid="{A17FE5F4-647F-4749-B311-CE06C13011BB}" name="Start Number"/>
    <tableColumn id="2" xr3:uid="{3AA9A5B4-8FDE-43C9-98A6-B547213A60E1}" name="Bib"/>
    <tableColumn id="3" xr3:uid="{3A2ECBE3-1ECE-4424-B30F-5CA83D67AF69}" name="Club/Quota"/>
    <tableColumn id="4" xr3:uid="{A6B68689-BBF5-401C-BA55-C0783F1509BF}" name="Class"/>
    <tableColumn id="5" xr3:uid="{646D33EC-5A9F-4DDD-ABA3-86AED8860051}" name="Full Name"/>
    <tableColumn id="6" xr3:uid="{D794D0B3-B61F-4DAD-8DB8-EFEEEDA56592}" name="Year of Birth"/>
    <tableColumn id="7" xr3:uid="{CE003BE5-79F2-4F5E-9C14-84B8C5E7D04B}" name="First Run Result" dataDxfId="312"/>
    <tableColumn id="8" xr3:uid="{F84039C5-6DEA-4F9E-B72B-B3AC6CB6CF6C}" name="Second Run Result" dataDxfId="311"/>
    <tableColumn id="9" xr3:uid="{3F73FFEC-334F-44FC-9C30-114960AE100A}" name="Combined Result" dataDxfId="310"/>
    <tableColumn id="10" xr3:uid="{D8037146-7D55-4CDB-A1CB-3F8DF3C681FF}" name="FIS Number"/>
    <tableColumn id="11" xr3:uid="{80FF1615-D6D7-4EAB-B7A1-00B12A6951EB}" name="NAT Number"/>
    <tableColumn id="12" xr3:uid="{DD7CDCD8-15BD-4592-9584-5EB89CB85A4B}" name="run 1 times" dataDxfId="309">
      <calculatedColumnFormula>_xlfn.LET(_xlpm.x,Table122110[[#This Row],[First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3" xr3:uid="{64F6AC93-768A-45CD-8ED2-449025EBEE58}" name="run 1 points" dataDxfId="308">
      <calculatedColumnFormula>IF(Table122110[[#This Row],[run 1 times]]="",999.99,IF(Table122110[[#This Row],[run 1 times]]=$AO$3,0,MAX(0,ROUND(((Table122110[[#This Row],[run 1 times]]-$AO$3)/$AO$3)*$AO$6,2))))</calculatedColumnFormula>
    </tableColumn>
    <tableColumn id="14" xr3:uid="{E1ED5C58-A2EA-4843-95AB-80C4951DB601}" name="run2 times" dataDxfId="307">
      <calculatedColumnFormula>_xlfn.LET(_xlpm.x,Table122110[[#This Row],[Second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5" xr3:uid="{7AF3DC33-543E-4145-B779-D8DD396FCAAC}" name="run 2 points" dataDxfId="306">
      <calculatedColumnFormula>IF(Table122110[[#This Row],[run2 times]]="",999.99,IF(Table122110[[#This Row],[run2 times]]=$AP$3,0,MAX(0,ROUND(((Table122110[[#This Row],[run2 times]]-$AP$3)/$AP$3)*$AO$6,2))))</calculatedColumnFormula>
    </tableColumn>
    <tableColumn id="16" xr3:uid="{87FF5154-A584-4730-833E-88F4DA0DD284}" name="total time" dataDxfId="305">
      <calculatedColumnFormula>IF(OR(Table122110[[#This Row],[run 1 times]]="",Table122110[[#This Row],[run2 times]]=""),"",Table122110[[#This Row],[run 1 times]]+Table122110[[#This Row],[run2 times]])</calculatedColumnFormula>
    </tableColumn>
    <tableColumn id="17" xr3:uid="{3F10791C-046A-46C5-B0D9-57E9DE59F61B}" name="TT race points" dataDxfId="304">
      <calculatedColumnFormula>IF(Table122110[[#This Row],[total time]]="",999.99,IF(Table122110[[#This Row],[total time]]=$AQ$3,0,MAX(0,ROUND(((Table122110[[#This Row],[total time]]-$AQ$3)/$AQ$3)*$AO$6,2))))</calculatedColumnFormula>
    </tableColumn>
  </tableColumns>
  <tableStyleInfo name="TableStyleMedium2" showFirstColumn="0" showLastColumn="0" showRowStripes="1" showColumnStripes="0"/>
</table>
</file>

<file path=xl/tables/table6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366A77C5-E835-48F2-B816-D71D74C8A2B5}" name="Table132211" displayName="Table132211" ref="AO2:AQ3" totalsRowShown="0" dataDxfId="303">
  <autoFilter ref="AO2:AQ3" xr:uid="{1E9C9419-73B1-4B02-B3E7-CFAF1623B428}"/>
  <tableColumns count="3">
    <tableColumn id="1" xr3:uid="{E358F95E-C00F-45B4-99D3-018307E225EE}" name="run 1 best time" dataDxfId="302">
      <calculatedColumnFormula>MIN(Table122110[run 1 times])</calculatedColumnFormula>
    </tableColumn>
    <tableColumn id="2" xr3:uid="{7392254A-FF30-46DF-9B29-CC09E273BA83}" name="run 1 best time2" dataDxfId="301">
      <calculatedColumnFormula>MIN(Table122110[run2 times])</calculatedColumnFormula>
    </tableColumn>
    <tableColumn id="3" xr3:uid="{CFBE25AD-AD41-410B-B60B-4CF30C62EFE6}" name="combined best time" dataDxfId="300">
      <calculatedColumnFormula>MIN(Table122110[total time])</calculatedColumnFormula>
    </tableColumn>
  </tableColumns>
  <tableStyleInfo name="TableStyleMedium4" showFirstColumn="0" showLastColumn="0" showRowStripes="1" showColumnStripes="0"/>
</table>
</file>

<file path=xl/tables/table6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5E194BB0-AF6E-413C-B4AF-EC08684C8819}" name="Table142312" displayName="Table142312" ref="AO5:AQ6" totalsRowShown="0">
  <autoFilter ref="AO5:AQ6" xr:uid="{8B09D38B-D3CE-4490-A64E-0B065C702DDC}"/>
  <tableColumns count="3">
    <tableColumn id="1" xr3:uid="{06B69A3E-53E1-42D6-BA8B-1647178624A5}" name="Slalom Factor"/>
    <tableColumn id="2" xr3:uid="{08265D3C-17E4-473C-A46D-6E9FE9D0262B}" name="GS Factor"/>
    <tableColumn id="3" xr3:uid="{AC9A8322-5E4A-42D6-8E46-2B5B62E7CB7B}" name="SG Factor"/>
  </tableColumns>
  <tableStyleInfo name="TableStyleMedium3" showFirstColumn="0" showLastColumn="0" showRowStripes="1" showColumnStripes="0"/>
</table>
</file>

<file path=xl/tables/table6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EB16B9C8-CC23-42CB-BDC4-AB7BDFEF3AF6}" name="Table1225" displayName="Table1225" ref="A2:Q58" totalsRowShown="0">
  <autoFilter ref="A2:Q58" xr:uid="{91B2D5C3-BD49-4471-9D0D-DD813957B41A}"/>
  <tableColumns count="17">
    <tableColumn id="1" xr3:uid="{35C7F0B1-D0BB-4FAD-AFE5-9AC454FCE455}" name="Start Number"/>
    <tableColumn id="2" xr3:uid="{FE2E695A-C6F3-475E-9DA1-37B3196D505B}" name="Bib"/>
    <tableColumn id="3" xr3:uid="{58DA50B8-B7E2-4AAA-883B-7D77C6297C3C}" name="Club/Quota"/>
    <tableColumn id="4" xr3:uid="{88115E35-809C-4C05-8051-332775684851}" name="Class"/>
    <tableColumn id="5" xr3:uid="{67DA2FFC-44C4-4D2C-BF15-C151C11E891A}" name="Full Name"/>
    <tableColumn id="6" xr3:uid="{503B95F4-960A-4F72-82BC-260A363CDDE3}" name="Year of Birth"/>
    <tableColumn id="7" xr3:uid="{EE0C42BC-1421-4B50-AD16-FBCDAE246ADD}" name="First Run Result" dataDxfId="299"/>
    <tableColumn id="8" xr3:uid="{BB5615CB-DC8B-417E-BD93-6054B91EE66D}" name="Second Run Result" dataDxfId="298"/>
    <tableColumn id="9" xr3:uid="{22C00325-5469-4123-AFB4-B84EBEAC03A9}" name="Combined Result" dataDxfId="297"/>
    <tableColumn id="10" xr3:uid="{76A6D336-31C4-42BE-82D8-DE4CF8302D99}" name="FIS Number"/>
    <tableColumn id="11" xr3:uid="{23403571-DFD9-4DC3-A999-11B30D09840A}" name="NAT Number"/>
    <tableColumn id="12" xr3:uid="{D6FB2B73-F6F7-420F-8752-BBEF496F9FF5}" name="run 1 times" dataDxfId="296">
      <calculatedColumnFormula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3" xr3:uid="{A07EDB5A-F11B-4C1C-8973-B4EA7E387DC5}" name="run 1 points" dataDxfId="295">
      <calculatedColumnFormula>IF(Table1225[[#This Row],[run 1 times]]="",999.99,IF(Table1225[[#This Row],[run 1 times]]=$S$3,0,MAX(0,ROUND(((Table1225[[#This Row],[run 1 times]]-$S$3)/$S$3)*$S$6,2))))</calculatedColumnFormula>
    </tableColumn>
    <tableColumn id="14" xr3:uid="{62A28535-7DE1-417A-8B2A-D8DBC1C7032A}" name="run2 times" dataDxfId="294">
      <calculatedColumnFormula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5" xr3:uid="{1F3FDFF8-A855-41FA-9F14-219653DAA74C}" name="run 2 points" dataDxfId="293">
      <calculatedColumnFormula>IF(Table1225[[#This Row],[run2 times]]="",999.99,IF(Table1225[[#This Row],[run2 times]]=$T$3,0,MAX(0,ROUND(((Table1225[[#This Row],[run2 times]]-$T$3)/$T$3)*$S$6,2))))</calculatedColumnFormula>
    </tableColumn>
    <tableColumn id="16" xr3:uid="{60B537FB-14CB-450B-ACA4-A8C6F288271F}" name="total time" dataDxfId="292">
      <calculatedColumnFormula>IF(OR(Table1225[[#This Row],[run 1 times]]="",Table1225[[#This Row],[run2 times]]=""),"",Table1225[[#This Row],[run 1 times]]+Table1225[[#This Row],[run2 times]])</calculatedColumnFormula>
    </tableColumn>
    <tableColumn id="17" xr3:uid="{FB1B7A74-5BBB-4420-8E73-3EFC7E41B0DB}" name="TT race points" dataDxfId="291">
      <calculatedColumnFormula>IF(Table1225[[#This Row],[total time]]="",999.99,IF(Table1225[[#This Row],[total time]]=$U$3,0,MAX(0,ROUND(((Table1225[[#This Row],[total time]]-$U$3)/$U$3)*$S$6,2))))</calculatedColumnFormula>
    </tableColumn>
  </tableColumns>
  <tableStyleInfo name="TableStyleMedium2" showFirstColumn="0" showLastColumn="0" showRowStripes="1" showColumnStripes="0"/>
</table>
</file>

<file path=xl/tables/table6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46A85DD4-59EE-4299-B71B-660043EC4279}" name="Table1326" displayName="Table1326" ref="S2:U3" totalsRowShown="0" dataDxfId="290">
  <autoFilter ref="S2:U3" xr:uid="{1E967C82-9863-4FB8-B686-759949E1096A}"/>
  <tableColumns count="3">
    <tableColumn id="1" xr3:uid="{F719C7E1-E83F-4231-87D1-369A442A38E2}" name="run 1 best time" dataDxfId="289">
      <calculatedColumnFormula>MIN(Table1225[run 1 times])</calculatedColumnFormula>
    </tableColumn>
    <tableColumn id="2" xr3:uid="{7E67C0E0-D42C-4E0C-9B0E-4DB391683F5A}" name="run 1 best time2" dataDxfId="288">
      <calculatedColumnFormula>MIN(Table1225[run2 times])</calculatedColumnFormula>
    </tableColumn>
    <tableColumn id="3" xr3:uid="{D0913F74-CED8-4398-925D-91A2A48A11B9}" name="combined best time" dataDxfId="287">
      <calculatedColumnFormula>MIN(Table1225[total time])</calculatedColumnFormula>
    </tableColumn>
  </tableColumns>
  <tableStyleInfo name="TableStyleMedium4" showFirstColumn="0" showLastColumn="0" showRowStripes="1" showColumnStripes="0"/>
</table>
</file>

<file path=xl/tables/table6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AA09A468-E19B-467C-85CA-E2F3BA5CD377}" name="Table1427" displayName="Table1427" ref="S5:U6" totalsRowShown="0">
  <autoFilter ref="S5:U6" xr:uid="{8A7932AC-08B3-45BE-A62F-71E99F9C6FCB}"/>
  <tableColumns count="3">
    <tableColumn id="1" xr3:uid="{1AAA5ADB-EE9F-41A4-903B-E07E1730A23B}" name="Slalom Factor"/>
    <tableColumn id="2" xr3:uid="{4F76ADDA-C21C-4F56-BF6C-F259B32C58EC}" name="GS Factor"/>
    <tableColumn id="3" xr3:uid="{0E0266E6-8460-4966-A06E-28CDD1D52793}" name="SG Factor"/>
  </tableColumns>
  <tableStyleInfo name="TableStyleMedium3" showFirstColumn="0" showLastColumn="0" showRowStripes="1" showColumnStripes="0"/>
</table>
</file>

<file path=xl/tables/table6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2EC67FB5-8E9E-40C0-8020-0151FD62152A}" name="Table122128" displayName="Table122128" ref="W2:AM33" totalsRowShown="0">
  <autoFilter ref="W2:AM33" xr:uid="{5C573A4F-9860-45EF-8B7A-2953F0241575}"/>
  <sortState xmlns:xlrd2="http://schemas.microsoft.com/office/spreadsheetml/2017/richdata2" ref="W3:AM6">
    <sortCondition ref="AH2:AH6"/>
  </sortState>
  <tableColumns count="17">
    <tableColumn id="1" xr3:uid="{1F70C3B8-7EFF-4592-8E69-C780B1CBA29F}" name="Start Number"/>
    <tableColumn id="2" xr3:uid="{36A85044-643B-4912-83A3-CAC2A0691E5D}" name="Bib"/>
    <tableColumn id="3" xr3:uid="{BFFE5FCD-891F-4B65-8C29-3DEBA9727345}" name="Club/Quota"/>
    <tableColumn id="4" xr3:uid="{C2964856-B8B0-4D8E-A729-E47A50CD2F4E}" name="Class"/>
    <tableColumn id="5" xr3:uid="{AFFF36EE-CC3F-41CE-84ED-BC4FC73A325A}" name="Full Name"/>
    <tableColumn id="6" xr3:uid="{3FB79E77-4704-46EA-A11D-9DBBFA1FB97C}" name="Year of Birth"/>
    <tableColumn id="7" xr3:uid="{9F0BE14B-B3F8-4572-B467-324801CA8968}" name="First Run Result" dataDxfId="286"/>
    <tableColumn id="8" xr3:uid="{C70FED10-307A-4A8B-BB5C-DD7DE435880E}" name="Second Run Result" dataDxfId="285"/>
    <tableColumn id="9" xr3:uid="{5FD04410-79BC-4F7B-A537-11066488DA3E}" name="Combined Result" dataDxfId="284"/>
    <tableColumn id="10" xr3:uid="{1E212CF5-C523-4650-A54C-E1FF5F477F8A}" name="FIS Number"/>
    <tableColumn id="11" xr3:uid="{33348565-3E88-4A09-A60B-C6D0DC08BB2A}" name="NAT Number"/>
    <tableColumn id="12" xr3:uid="{0DB47332-201A-4848-9BA4-2B2A36201323}" name="run 1 times" dataDxfId="283">
      <calculatedColumnFormula>_xlfn.LET(_xlpm.x,Table122128[[#This Row],[First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3" xr3:uid="{0B19FA74-3637-45E2-865C-FE36EC95F0DF}" name="run 1 points" dataDxfId="282">
      <calculatedColumnFormula>IF(Table122128[[#This Row],[run 1 times]]="",999.99,IF(Table122128[[#This Row],[run 1 times]]=$AO$3,0,MAX(0,ROUND(((Table122128[[#This Row],[run 1 times]]-$AO$3)/$AO$3)*$AO$6,2))))</calculatedColumnFormula>
    </tableColumn>
    <tableColumn id="14" xr3:uid="{B1342C30-4D80-4E8C-AA2F-95C614A52E0B}" name="run2 times" dataDxfId="281">
      <calculatedColumnFormula>_xlfn.LET(_xlpm.x,Table122128[[#This Row],[Second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5" xr3:uid="{CE768127-91F6-4664-AE60-51A3FC4D8F0A}" name="run 2 points" dataDxfId="280">
      <calculatedColumnFormula>IF(Table122128[[#This Row],[run2 times]]="",999.99,IF(Table122128[[#This Row],[run2 times]]=$AP$3,0,MAX(0,ROUND(((Table122128[[#This Row],[run2 times]]-$AP$3)/$AP$3)*$AO$6,2))))</calculatedColumnFormula>
    </tableColumn>
    <tableColumn id="16" xr3:uid="{137DD9AB-97BF-4F5A-9CC3-929B2A257851}" name="total time" dataDxfId="279">
      <calculatedColumnFormula>IF(OR(Table122128[[#This Row],[run 1 times]]="",Table122128[[#This Row],[run2 times]]=""),"",Table122128[[#This Row],[run 1 times]]+Table122128[[#This Row],[run2 times]])</calculatedColumnFormula>
    </tableColumn>
    <tableColumn id="17" xr3:uid="{5378B6C0-E3B0-4A3A-9806-5950D83952BD}" name="TT race points" dataDxfId="278">
      <calculatedColumnFormula>IF(Table122128[[#This Row],[total time]]="",999.99,IF(Table122128[[#This Row],[total time]]=$AQ$3,0,MAX(0,ROUND(((Table122128[[#This Row],[total time]]-$AQ$3)/$AQ$3)*$AO$6,2))))</calculatedColumnFormula>
    </tableColumn>
  </tableColumns>
  <tableStyleInfo name="TableStyleMedium2" showFirstColumn="0" showLastColumn="0" showRowStripes="1" showColumnStripes="0"/>
</table>
</file>

<file path=xl/tables/table6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3B3D36EF-38D2-4CD4-9E3B-1632F437E6F6}" name="Table132229" displayName="Table132229" ref="AO2:AQ3" totalsRowShown="0" dataDxfId="277">
  <autoFilter ref="AO2:AQ3" xr:uid="{1E9C9419-73B1-4B02-B3E7-CFAF1623B428}"/>
  <tableColumns count="3">
    <tableColumn id="1" xr3:uid="{D5AD8985-9092-4839-A6EE-AEE3667E009B}" name="run 1 best time" dataDxfId="276">
      <calculatedColumnFormula>MIN(Table122128[run 1 times])</calculatedColumnFormula>
    </tableColumn>
    <tableColumn id="2" xr3:uid="{232786B6-E3D7-44AD-8812-77E86B95FDB4}" name="run 1 best time2" dataDxfId="275">
      <calculatedColumnFormula>MIN(Table122128[run2 times])</calculatedColumnFormula>
    </tableColumn>
    <tableColumn id="3" xr3:uid="{A760F38B-6FF9-47D4-B600-270014C2139B}" name="combined best time" dataDxfId="274">
      <calculatedColumnFormula>MIN(Table122128[total time])</calculatedColumnFormula>
    </tableColumn>
  </tableColumns>
  <tableStyleInfo name="TableStyleMedium4" showFirstColumn="0" showLastColumn="0" showRowStripes="1" showColumnStripes="0"/>
</table>
</file>

<file path=xl/tables/table6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919D9759-3489-4B93-9DA5-AE09058BB835}" name="Table142330" displayName="Table142330" ref="AO5:AQ6" totalsRowShown="0">
  <autoFilter ref="AO5:AQ6" xr:uid="{8B09D38B-D3CE-4490-A64E-0B065C702DDC}"/>
  <tableColumns count="3">
    <tableColumn id="1" xr3:uid="{9CDA6827-F2A0-4279-98D9-506AE316FB30}" name="Slalom Factor"/>
    <tableColumn id="2" xr3:uid="{6AEA6324-E535-4B80-A520-7355FA90C62C}" name="GS Factor"/>
    <tableColumn id="3" xr3:uid="{CA203778-AA97-4DA8-B951-5503527D9921}" name="SG Factor"/>
  </tableColumns>
  <tableStyleInfo name="TableStyleMedium3" showFirstColumn="0" showLastColumn="0" showRowStripes="1" showColumnStripes="0"/>
</table>
</file>

<file path=xl/tables/table6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C3CA174A-D9A5-4CB2-8F66-D30094FD00ED}" name="Table12716" displayName="Table12716" ref="A2:Q49" totalsRowShown="0">
  <autoFilter ref="A2:Q49" xr:uid="{91B2D5C3-BD49-4471-9D0D-DD813957B41A}"/>
  <tableColumns count="17">
    <tableColumn id="1" xr3:uid="{12C2CF2A-76CF-4C39-81DC-509D30CB0A6F}" name="Start Number"/>
    <tableColumn id="2" xr3:uid="{156C70A7-93AB-4D77-B718-E2DE74E81F15}" name="Bib"/>
    <tableColumn id="3" xr3:uid="{0F2BCC89-AF29-49F3-A402-768674130B27}" name="Club/Quota"/>
    <tableColumn id="4" xr3:uid="{EE93812E-1174-4C61-BCC4-E3BCA200F066}" name="Class"/>
    <tableColumn id="5" xr3:uid="{ED1DFE34-1580-4DDC-AB9C-A01D79B36C54}" name="Full Name"/>
    <tableColumn id="6" xr3:uid="{810D7D7A-85F1-41AC-A15E-FA2C2A5D963F}" name="Year of Birth"/>
    <tableColumn id="7" xr3:uid="{A0A466FF-4947-454C-87B6-A4B8843DCF33}" name="First Run Result" dataDxfId="273"/>
    <tableColumn id="8" xr3:uid="{8C89C43D-D705-4971-8003-BA0AC00C6D5D}" name="Second Run Result" dataDxfId="272"/>
    <tableColumn id="9" xr3:uid="{1D6F6B08-ADC0-4EDA-AB0B-2E84A2CDF86E}" name="Combined Result" dataDxfId="271"/>
    <tableColumn id="10" xr3:uid="{2905978B-2F08-45A2-841C-B4AC4AA402D0}" name="FIS Number"/>
    <tableColumn id="11" xr3:uid="{44E99597-62BF-43C1-82B8-06B293A81F1C}" name="NAT Number"/>
    <tableColumn id="12" xr3:uid="{84EA2DC4-BB6D-4F1D-A39D-7F9FAFD83F96}" name="run 1 times" dataDxfId="270">
      <calculatedColumnFormula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3" xr3:uid="{6AF296E4-58DC-44CD-9A77-99441C9D9A7C}" name="run 1 points" dataDxfId="269">
      <calculatedColumnFormula>IF(Table12716[[#This Row],[run 1 times]]="",999.99,IF(Table12716[[#This Row],[run 1 times]]=$S$3,0,MAX(0,ROUND(((Table12716[[#This Row],[run 1 times]]-$S$3)/$S$3)*$S$6,2))))</calculatedColumnFormula>
    </tableColumn>
    <tableColumn id="14" xr3:uid="{AB84D0C5-F3EA-42AE-9052-9DD1EA79E654}" name="run2 times" dataDxfId="268">
      <calculatedColumnFormula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5" xr3:uid="{5F0CE6DB-D75A-4CC6-992D-90DDF49925EF}" name="run 2 points" dataDxfId="267">
      <calculatedColumnFormula>IF(Table12716[[#This Row],[run2 times]]="",999.99,IF(Table12716[[#This Row],[run2 times]]=$T$3,0,MAX(0,ROUND(((Table12716[[#This Row],[run2 times]]-$T$3)/$T$3)*$S$6,2))))</calculatedColumnFormula>
    </tableColumn>
    <tableColumn id="16" xr3:uid="{E1E7556F-7FC6-4157-8B30-381E0C462987}" name="total time" dataDxfId="266">
      <calculatedColumnFormula>IF(OR(Table12716[[#This Row],[run 1 times]]="",Table12716[[#This Row],[run2 times]]=""),"",Table12716[[#This Row],[run 1 times]]+Table12716[[#This Row],[run2 times]])</calculatedColumnFormula>
    </tableColumn>
    <tableColumn id="17" xr3:uid="{3C9A609C-FF07-4F59-80B0-0D040024F3E1}" name="TT race points" dataDxfId="265">
      <calculatedColumnFormula>IF(Table12716[[#This Row],[total time]]="",999.99,IF(Table12716[[#This Row],[total time]]=$U$3,0,MAX(0,ROUND(((Table12716[[#This Row],[total time]]-$U$3)/$U$3)*$S$6,2))))</calculatedColumnFormula>
    </tableColumn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9" xr:uid="{5CAD7EE7-C6C6-4894-8CAE-86FE39C45C3D}" name="Table124180" displayName="Table124180" ref="W2:AD20" totalsRowShown="0">
  <autoFilter ref="W2:AD20" xr:uid="{D3734791-4308-4B60-9978-E73DE653AC01}"/>
  <tableColumns count="8">
    <tableColumn id="1" xr3:uid="{42AA5F8F-0A84-4C5D-8011-DBBA58235362}" name="ACA Number"/>
    <tableColumn id="2" xr3:uid="{F3DAE7B8-0204-4CA4-9679-68598ECEF446}" name="name "/>
    <tableColumn id="3" xr3:uid="{AB6BF28F-17CD-4757-9D1D-6FF43FDD5317}" name="Category"/>
    <tableColumn id="4" xr3:uid="{88421540-DCC6-4B47-B126-1E9BD48512FE}" name="PM SL1" dataDxfId="617">
      <calculatedColumnFormula>_xlfn.XLOOKUP(Table124180[[#This Row],[ACA Number]],Table12[NAT Number],Table12[TT race points])</calculatedColumnFormula>
    </tableColumn>
    <tableColumn id="5" xr3:uid="{91A3685F-B055-4736-BC53-416848215576}" name="PM SL2" dataDxfId="616">
      <calculatedColumnFormula>_xlfn.XLOOKUP(Table124180[[#This Row],[ACA Number]],Table1225[NAT Number],Table1225[TT race points])</calculatedColumnFormula>
    </tableColumn>
    <tableColumn id="6" xr3:uid="{22CC5F51-59BB-4AC5-9004-586A15FD3ECE}" name="MF SL" dataDxfId="615">
      <calculatedColumnFormula>_xlfn.XLOOKUP(Table124180[[#This Row],[ACA Number]],Table127163143556779[NAT Number],Table127163143556779[TT race points])</calculatedColumnFormula>
    </tableColumn>
    <tableColumn id="7" xr3:uid="{2BB424B8-24FB-4B0E-AEF7-AC0159D3157E}" name="Best result" dataDxfId="614">
      <calculatedColumnFormula array="1">_xlfn.LET(_xlpm.r,Table124180[[#This Row],[PM SL1]:[MF SL]],_xlpm.m,_xlfn.AGGREGATE(15,6,_xlpm.r/(_xlpm.r&lt;&gt;999.99),1),IFERROR(_xlpm.m,999.99))</calculatedColumnFormula>
    </tableColumn>
    <tableColumn id="8" xr3:uid="{566B6FAF-3879-4212-825F-B930A90A6D45}" name="2nd Best Result" dataDxfId="613">
      <calculatedColumnFormula array="1">_xlfn.LET(_xlpm.r,Table124180[[#This Row],[PM SL1]:[MF SL]],_xlpm.m,_xlfn.AGGREGATE(15,6,_xlpm.r/(_xlpm.r&lt;&gt;999.99),2),IFERROR(_xlpm.m,999.99))</calculatedColumnFormula>
    </tableColumn>
  </tableColumns>
  <tableStyleInfo name="TableStyleMedium2" showFirstColumn="0" showLastColumn="0" showRowStripes="1" showColumnStripes="0"/>
</table>
</file>

<file path=xl/tables/table7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CCD21EB0-3DEE-40D0-A545-EB513EC9FE55}" name="Table13817" displayName="Table13817" ref="S2:U3" totalsRowShown="0" dataDxfId="264">
  <autoFilter ref="S2:U3" xr:uid="{1E967C82-9863-4FB8-B686-759949E1096A}"/>
  <tableColumns count="3">
    <tableColumn id="1" xr3:uid="{FFBD18D5-E0C9-4A43-9AE9-E2930A3B501C}" name="run 1 best time" dataDxfId="263">
      <calculatedColumnFormula>MIN(Table12716[run 1 times])</calculatedColumnFormula>
    </tableColumn>
    <tableColumn id="2" xr3:uid="{68631A6D-AC30-400D-A64A-182A26A489E1}" name="run 1 best time2" dataDxfId="262">
      <calculatedColumnFormula>MIN(Table12716[run2 times])</calculatedColumnFormula>
    </tableColumn>
    <tableColumn id="3" xr3:uid="{2E5A8558-30A6-4C09-BD3D-7CEF7E507577}" name="combined best time" dataDxfId="261">
      <calculatedColumnFormula>MIN(Table12716[total time])</calculatedColumnFormula>
    </tableColumn>
  </tableColumns>
  <tableStyleInfo name="TableStyleMedium4" showFirstColumn="0" showLastColumn="0" showRowStripes="1" showColumnStripes="0"/>
</table>
</file>

<file path=xl/tables/table7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DF128238-1012-4EDC-B6FF-02823D953F89}" name="Table14918" displayName="Table14918" ref="S5:U6" totalsRowShown="0">
  <autoFilter ref="S5:U6" xr:uid="{8A7932AC-08B3-45BE-A62F-71E99F9C6FCB}"/>
  <tableColumns count="3">
    <tableColumn id="1" xr3:uid="{9A7C23E1-11A1-47C6-81B3-4F616A0FCC15}" name="Slalom Factor"/>
    <tableColumn id="2" xr3:uid="{42A13682-2A52-485C-AE9C-AF5CBFCF7B38}" name="GS Factor"/>
    <tableColumn id="3" xr3:uid="{A91A07E8-A90A-4ADD-B342-A14B73F325D3}" name="SG Factor"/>
  </tableColumns>
  <tableStyleInfo name="TableStyleMedium3" showFirstColumn="0" showLastColumn="0" showRowStripes="1" showColumnStripes="0"/>
</table>
</file>

<file path=xl/tables/table7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F789BC60-09B6-4177-9BD5-FD72828E59D3}" name="Table12211019" displayName="Table12211019" ref="W2:AM30" totalsRowShown="0">
  <autoFilter ref="W2:AM30" xr:uid="{5C573A4F-9860-45EF-8B7A-2953F0241575}"/>
  <sortState xmlns:xlrd2="http://schemas.microsoft.com/office/spreadsheetml/2017/richdata2" ref="W3:AM30">
    <sortCondition descending="1" ref="Z2:Z30"/>
  </sortState>
  <tableColumns count="17">
    <tableColumn id="1" xr3:uid="{4C009042-1EF2-47A9-A780-22EC8489D2CE}" name="Start Number"/>
    <tableColumn id="2" xr3:uid="{46AAB6AD-42D0-4379-9F50-50C39A03EAD4}" name="Bib"/>
    <tableColumn id="3" xr3:uid="{BA7F2536-2371-4AC1-967F-496D6639C137}" name="Club/Quota"/>
    <tableColumn id="4" xr3:uid="{448B076D-F72C-46CB-B499-F901D53830CB}" name="Class"/>
    <tableColumn id="5" xr3:uid="{86AECA8E-79F5-4154-8B59-AAD1AE62F2E4}" name="Full Name"/>
    <tableColumn id="6" xr3:uid="{A5BD78A8-E3AF-49CA-821C-E778D5DEB81E}" name="Year of Birth"/>
    <tableColumn id="7" xr3:uid="{9ACE9042-9208-45A4-9589-3BBD56EB221E}" name="First Run Result" dataDxfId="260"/>
    <tableColumn id="8" xr3:uid="{EC3E12F6-36C2-4FD1-961E-A842FC264255}" name="Second Run Result" dataDxfId="259"/>
    <tableColumn id="9" xr3:uid="{9EDC8961-02CC-4948-B9CC-ABEBD3F64EAA}" name="Combined Result" dataDxfId="258"/>
    <tableColumn id="10" xr3:uid="{D7B40A58-ED2A-451D-9CA0-9CF9C5F9E4F4}" name="FIS Number"/>
    <tableColumn id="11" xr3:uid="{95554968-BB0C-498E-9FE2-AB01850FE844}" name="NAT Number"/>
    <tableColumn id="12" xr3:uid="{315C347C-088F-4988-B5AA-B787F443A982}" name="run 1 times" dataDxfId="257">
      <calculatedColumnFormula>_xlfn.LET(_xlpm.x,Table12211019[[#This Row],[First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3" xr3:uid="{FC894E6D-914B-40C1-B103-E524B1A18F17}" name="run 1 points" dataDxfId="256">
      <calculatedColumnFormula>IF(Table12211019[[#This Row],[run 1 times]]="",999.99,IF(Table12211019[[#This Row],[run 1 times]]=$AO$3,0,MAX(0,ROUND(((Table12211019[[#This Row],[run 1 times]]-$AO$3)/$AO$3)*$AO$6,2))))</calculatedColumnFormula>
    </tableColumn>
    <tableColumn id="14" xr3:uid="{D4D829BE-705A-45BE-A332-393637CCF418}" name="run2 times" dataDxfId="255">
      <calculatedColumnFormula>_xlfn.LET(_xlpm.x,Table12211019[[#This Row],[Second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5" xr3:uid="{328A1C1A-9330-4BF9-849C-35282003C3CC}" name="run 2 points" dataDxfId="254">
      <calculatedColumnFormula>IF(Table12211019[[#This Row],[run2 times]]="",999.99,IF(Table12211019[[#This Row],[run2 times]]=$AP$3,0,MAX(0,ROUND(((Table12211019[[#This Row],[run2 times]]-$AP$3)/$AP$3)*$AO$6,2))))</calculatedColumnFormula>
    </tableColumn>
    <tableColumn id="16" xr3:uid="{B7AA4D00-B92C-4510-B449-6FB5ABA62659}" name="total time" dataDxfId="253">
      <calculatedColumnFormula>IF(OR(Table12211019[[#This Row],[run 1 times]]="",Table12211019[[#This Row],[run2 times]]=""),"",Table12211019[[#This Row],[run 1 times]]+Table12211019[[#This Row],[run2 times]])</calculatedColumnFormula>
    </tableColumn>
    <tableColumn id="17" xr3:uid="{8C38A0DF-65DC-4776-ACF5-D2F029F85BA4}" name="TT race points" dataDxfId="252">
      <calculatedColumnFormula>IF(Table12211019[[#This Row],[total time]]="",999.99,IF(Table12211019[[#This Row],[total time]]=$AQ$3,0,MAX(0,ROUND(((Table12211019[[#This Row],[total time]]-$AQ$3)/$AQ$3)*$AO$6,2))))</calculatedColumnFormula>
    </tableColumn>
  </tableColumns>
  <tableStyleInfo name="TableStyleMedium2" showFirstColumn="0" showLastColumn="0" showRowStripes="1" showColumnStripes="0"/>
</table>
</file>

<file path=xl/tables/table7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6377BF8A-07A2-4E5D-B936-A16B24A1BB18}" name="Table13221120" displayName="Table13221120" ref="AO2:AQ3" totalsRowShown="0" dataDxfId="251">
  <autoFilter ref="AO2:AQ3" xr:uid="{1E9C9419-73B1-4B02-B3E7-CFAF1623B428}"/>
  <tableColumns count="3">
    <tableColumn id="1" xr3:uid="{34801543-187E-473B-80A7-F452A402E235}" name="run 1 best time" dataDxfId="250">
      <calculatedColumnFormula>MIN(Table12211019[run 1 times])</calculatedColumnFormula>
    </tableColumn>
    <tableColumn id="2" xr3:uid="{B72A0DEA-4BDF-486D-A45B-1B33634228C0}" name="run 1 best time2" dataDxfId="249">
      <calculatedColumnFormula>MIN(Table12211019[run2 times])</calculatedColumnFormula>
    </tableColumn>
    <tableColumn id="3" xr3:uid="{3E3E6342-2785-4A30-AE2E-ABD4C9110331}" name="combined best time" dataDxfId="248">
      <calculatedColumnFormula>MIN(Table12211019[total time])</calculatedColumnFormula>
    </tableColumn>
  </tableColumns>
  <tableStyleInfo name="TableStyleMedium4" showFirstColumn="0" showLastColumn="0" showRowStripes="1" showColumnStripes="0"/>
</table>
</file>

<file path=xl/tables/table7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F62F1175-7946-4F1E-B21C-DFEC72D30A6E}" name="Table14231224" displayName="Table14231224" ref="AO5:AQ6" totalsRowShown="0">
  <autoFilter ref="AO5:AQ6" xr:uid="{8B09D38B-D3CE-4490-A64E-0B065C702DDC}"/>
  <tableColumns count="3">
    <tableColumn id="1" xr3:uid="{BCCBD331-E847-4D02-B362-C3D52FFB0FA2}" name="Slalom Factor"/>
    <tableColumn id="2" xr3:uid="{E50F4633-2C40-4C33-B6E4-FA7367B7DB7E}" name="GS Factor"/>
    <tableColumn id="3" xr3:uid="{0D2DCC24-4AE4-416C-AF74-9660548B4320}" name="SG Factor"/>
  </tableColumns>
  <tableStyleInfo name="TableStyleMedium3" showFirstColumn="0" showLastColumn="0" showRowStripes="1" showColumnStripes="0"/>
</table>
</file>

<file path=xl/tables/table7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DF179879-E1E9-416A-B747-CA66E030F325}" name="Table1271631" displayName="Table1271631" ref="A2:M56" totalsRowShown="0">
  <autoFilter ref="A2:M56" xr:uid="{91B2D5C3-BD49-4471-9D0D-DD813957B41A}"/>
  <tableColumns count="13">
    <tableColumn id="1" xr3:uid="{D28BA79E-EB26-4088-9786-169692231133}" name="Start Number"/>
    <tableColumn id="2" xr3:uid="{BEF14F7D-BEFD-43C6-B853-B343417F3BC9}" name="Bib"/>
    <tableColumn id="3" xr3:uid="{0393900C-5074-4292-91AD-60A7EAE514DF}" name="Club/Quota"/>
    <tableColumn id="4" xr3:uid="{E647BBC5-D7B6-44CC-98F9-255C09CBC536}" name="Class"/>
    <tableColumn id="5" xr3:uid="{860CA94E-F599-4F11-B120-F24B60D50F11}" name="Full Name"/>
    <tableColumn id="6" xr3:uid="{759169BE-5AFF-43C1-BA22-DCF57ADF7F0D}" name="Year of Birth"/>
    <tableColumn id="7" xr3:uid="{2E9689E6-6FD1-42F9-ACC1-A73DCFF8AA2C}" name="First Run Result" dataDxfId="247"/>
    <tableColumn id="8" xr3:uid="{1D449505-D089-46CE-ACCE-09DF77AE6332}" name="Second Run Result" dataDxfId="246"/>
    <tableColumn id="9" xr3:uid="{F6CECF8A-4A25-4A63-818F-31168C4E7757}" name="Combined Result" dataDxfId="245"/>
    <tableColumn id="10" xr3:uid="{E2F69F3C-8CBF-4BBF-8B14-16DFE95481D4}" name="FIS Number"/>
    <tableColumn id="11" xr3:uid="{E1FB3867-FEF6-4B45-83B1-7C17E947634E}" name="NAT Number" dataDxfId="244"/>
    <tableColumn id="12" xr3:uid="{B87B2103-FECD-4ABA-8E24-E7B3A560B09A}" name="run 1 times" dataDxfId="243">
      <calculatedColumnFormula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3" xr3:uid="{D7A333BC-B1F5-4108-B13E-7CB6C7A032E3}" name="run 1 points" dataDxfId="242">
      <calculatedColumnFormula>IF(Table1271631[[#This Row],[run 1 times]]="",999.99,IF(Table1271631[[#This Row],[run 1 times]]=$O$3,0,MAX(0,ROUND(((Table1271631[[#This Row],[run 1 times]]-$O$3)/$O$3)*$Q$6,2))))</calculatedColumnFormula>
    </tableColumn>
  </tableColumns>
  <tableStyleInfo name="TableStyleMedium2" showFirstColumn="0" showLastColumn="0" showRowStripes="1" showColumnStripes="0"/>
</table>
</file>

<file path=xl/tables/table7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2C7D1CF0-2BA0-410E-AF72-27E78B49BD0B}" name="Table1381732" displayName="Table1381732" ref="O2:Q3" totalsRowShown="0" dataDxfId="241">
  <autoFilter ref="O2:Q3" xr:uid="{1E967C82-9863-4FB8-B686-759949E1096A}"/>
  <tableColumns count="3">
    <tableColumn id="1" xr3:uid="{CC1B58A0-253F-436C-B411-1FF0F0A022D1}" name="run 1 best time" dataDxfId="240">
      <calculatedColumnFormula>MIN(Table1271631[run 1 times])</calculatedColumnFormula>
    </tableColumn>
    <tableColumn id="2" xr3:uid="{B95A7F2F-D9B6-4FD1-88B7-777039790AF6}" name="run 1 best time2" dataDxfId="239">
      <calculatedColumnFormula>MIN(#REF!)</calculatedColumnFormula>
    </tableColumn>
    <tableColumn id="3" xr3:uid="{797F788D-2B11-4DC5-9E7F-0BC367DBA410}" name="combined best time" dataDxfId="238">
      <calculatedColumnFormula>MIN(#REF!)</calculatedColumnFormula>
    </tableColumn>
  </tableColumns>
  <tableStyleInfo name="TableStyleMedium4" showFirstColumn="0" showLastColumn="0" showRowStripes="1" showColumnStripes="0"/>
</table>
</file>

<file path=xl/tables/table7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4856C36E-E910-4374-A57C-1EE2CA6C4547}" name="Table1491833" displayName="Table1491833" ref="O5:Q6" totalsRowShown="0">
  <autoFilter ref="O5:Q6" xr:uid="{8A7932AC-08B3-45BE-A62F-71E99F9C6FCB}"/>
  <tableColumns count="3">
    <tableColumn id="1" xr3:uid="{2BE0CCE5-AB6C-4F25-8C2B-54EB941ED58E}" name="Slalom Factor"/>
    <tableColumn id="2" xr3:uid="{12053261-682A-42AC-AB60-763A6AE7CA70}" name="GS Factor"/>
    <tableColumn id="3" xr3:uid="{FB6ECDFA-9B47-48DB-B6CE-3201DB75FBAF}" name="SG Factor"/>
  </tableColumns>
  <tableStyleInfo name="TableStyleMedium3" showFirstColumn="0" showLastColumn="0" showRowStripes="1" showColumnStripes="0"/>
</table>
</file>

<file path=xl/tables/table7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65515966-5448-4559-86BF-5AFA39A6C328}" name="Table1221101934" displayName="Table1221101934" ref="S2:AE56" totalsRowShown="0">
  <autoFilter ref="S2:AE56" xr:uid="{5C573A4F-9860-45EF-8B7A-2953F0241575}"/>
  <sortState xmlns:xlrd2="http://schemas.microsoft.com/office/spreadsheetml/2017/richdata2" ref="S3:AE6">
    <sortCondition ref="AD2:AD6"/>
  </sortState>
  <tableColumns count="13">
    <tableColumn id="1" xr3:uid="{9C91F921-0B33-4EE5-8E23-2A215DAE902C}" name="Start Number"/>
    <tableColumn id="2" xr3:uid="{EB183A0E-D458-463E-9C90-C6203DEABE8B}" name="Bib"/>
    <tableColumn id="3" xr3:uid="{786DD06E-E65C-43C6-8273-AA18C6F2E3C6}" name="Club/Quota"/>
    <tableColumn id="4" xr3:uid="{5CACD571-9992-49DB-8F10-22C8ED6769E6}" name="Class"/>
    <tableColumn id="5" xr3:uid="{AA1DB6C6-F76E-4053-B58D-AEFDB9BD9ED3}" name="Full Name"/>
    <tableColumn id="6" xr3:uid="{2AC013C0-3BC7-4FF9-BC6D-904C5FB05B0A}" name="Year of Birth"/>
    <tableColumn id="7" xr3:uid="{DDC5E5CA-8B55-4C58-91A5-4038F6C91162}" name="First Run Result" dataDxfId="237"/>
    <tableColumn id="8" xr3:uid="{0A58676C-7A9D-4487-B0CA-2A658ECBE665}" name="Second Run Result" dataDxfId="236"/>
    <tableColumn id="9" xr3:uid="{179458E7-7292-4F69-A4FE-6000ABC8A0C9}" name="Combined Result" dataDxfId="235"/>
    <tableColumn id="10" xr3:uid="{DEFE1F3B-85C0-48A8-A9B3-B5058AE80176}" name="FIS Number"/>
    <tableColumn id="11" xr3:uid="{704894A3-9124-42A8-93E3-2C272CF319C1}" name="NAT Number" dataDxfId="234"/>
    <tableColumn id="12" xr3:uid="{864E22D9-1310-49B4-96DA-E4D8A1D2E9B2}" name="run 1 times" dataDxfId="233">
      <calculatedColumnFormula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3" xr3:uid="{373E340C-A748-44B6-8BBC-2506D41144FC}" name="run 1 points" dataDxfId="232">
      <calculatedColumnFormula>IF(Table1221101934[[#This Row],[run 1 times]]="",999.99,IF(Table1221101934[[#This Row],[run 1 times]]=$AG$3,0,MAX(0,ROUND(((Table1221101934[[#This Row],[run 1 times]]-$AG$3)/$AG$3)*$AI$6,2))))</calculatedColumnFormula>
    </tableColumn>
  </tableColumns>
  <tableStyleInfo name="TableStyleMedium2" showFirstColumn="0" showLastColumn="0" showRowStripes="1" showColumnStripes="0"/>
</table>
</file>

<file path=xl/tables/table7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E685AB25-E6B7-4403-85D2-67A32B242077}" name="Table1322112035" displayName="Table1322112035" ref="AG2:AI3" totalsRowShown="0" dataDxfId="231">
  <autoFilter ref="AG2:AI3" xr:uid="{1E9C9419-73B1-4B02-B3E7-CFAF1623B428}"/>
  <tableColumns count="3">
    <tableColumn id="1" xr3:uid="{53F07B23-1F42-4C2C-80E1-8C736368E721}" name="run 1 best time" dataDxfId="230">
      <calculatedColumnFormula>MIN(Table1221101934[run 1 times])</calculatedColumnFormula>
    </tableColumn>
    <tableColumn id="2" xr3:uid="{4EFE1955-F168-4EB1-AC31-D965837A09EF}" name="run 1 best time2" dataDxfId="229">
      <calculatedColumnFormula>MIN(#REF!)</calculatedColumnFormula>
    </tableColumn>
    <tableColumn id="3" xr3:uid="{F84FB7F8-89D0-4257-86D2-D84AE8C8EE9B}" name="combined best time" dataDxfId="228">
      <calculatedColumnFormula>MIN(#REF!)</calculatedColumnFormula>
    </tableColumn>
  </tableColumns>
  <tableStyleInfo name="TableStyleMedium4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0" xr:uid="{67F8FFE5-E647-46A0-A52E-99F8E623222A}" name="Table125181" displayName="Table125181" ref="AF2:AM20" totalsRowShown="0">
  <autoFilter ref="AF2:AM20" xr:uid="{043FEDCE-DECA-4CD2-98DF-9938874C3A11}"/>
  <tableColumns count="8">
    <tableColumn id="1" xr3:uid="{E39712C0-C658-4D8C-9A3C-24492F62820C}" name="ACA Number"/>
    <tableColumn id="2" xr3:uid="{7F8EFE69-DDE7-44C7-B8B1-0B9BF6F6DEB2}" name="name "/>
    <tableColumn id="3" xr3:uid="{166C5BBC-978B-466D-BE18-8B745AB68053}" name="Category"/>
    <tableColumn id="4" xr3:uid="{B6DF79B6-F6BE-4A2D-B2C5-32993B90CC47}" name="CM GS1" dataDxfId="612">
      <calculatedColumnFormula>_xlfn.XLOOKUP(Table125181[[#This Row],[ACA Number]],Table127163143556797103[NAT Number],Table127163143556797103[TT race points])</calculatedColumnFormula>
    </tableColumn>
    <tableColumn id="5" xr3:uid="{3C623478-85A3-4198-B8B4-801DA2BC8C84}" name="CM GS2" dataDxfId="611">
      <calculatedColumnFormula>_xlfn.XLOOKUP(Table125181[[#This Row],[ACA Number]],Table127163143556797[NAT Number],Table127163143556797[TT race points])</calculatedColumnFormula>
    </tableColumn>
    <tableColumn id="6" xr3:uid="{0840C6A2-2DCB-4D4D-9DD4-F2ADCF4788EA}" name="MF GS" dataDxfId="610">
      <calculatedColumnFormula>_xlfn.XLOOKUP(Table125181[[#This Row],[ACA Number]],Table1271631435567[NAT Number],Table1271631435567[TT race points])</calculatedColumnFormula>
    </tableColumn>
    <tableColumn id="7" xr3:uid="{F1095CB2-4ADB-4CFA-ADDC-A3531BB3AB4C}" name="Best result" dataDxfId="609">
      <calculatedColumnFormula array="1">_xlfn.LET(_xlpm.r,Table125181[[#This Row],[CM GS1]:[MF GS]],_xlpm.m,_xlfn.AGGREGATE(15,6,_xlpm.r/(_xlpm.r&lt;&gt;999.99),1),IFERROR(_xlpm.m,999.99))</calculatedColumnFormula>
    </tableColumn>
    <tableColumn id="8" xr3:uid="{0C0AF534-8869-4CF4-8B05-1F5791A20334}" name="2nd Best Result" dataDxfId="608">
      <calculatedColumnFormula array="1">_xlfn.LET(_xlpm.r,Table125181[[#This Row],[CM GS1]:[MF GS]],_xlpm.m,_xlfn.AGGREGATE(15,6,_xlpm.r/(_xlpm.r&lt;&gt;999.99),2),IFERROR(_xlpm.m,999.99))</calculatedColumnFormula>
    </tableColumn>
  </tableColumns>
  <tableStyleInfo name="TableStyleMedium4" showFirstColumn="0" showLastColumn="0" showRowStripes="1" showColumnStripes="0"/>
</table>
</file>

<file path=xl/tables/table8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531B291F-1F76-4C52-B30A-1BA4BBEF7642}" name="Table1423122436" displayName="Table1423122436" ref="AG5:AI6" totalsRowShown="0">
  <autoFilter ref="AG5:AI6" xr:uid="{8B09D38B-D3CE-4490-A64E-0B065C702DDC}"/>
  <tableColumns count="3">
    <tableColumn id="1" xr3:uid="{36144A9B-F414-47C0-8C4F-4CC6349F865D}" name="Slalom Factor"/>
    <tableColumn id="2" xr3:uid="{C962B565-4778-4014-BDC8-999AAB94A22E}" name="GS Factor"/>
    <tableColumn id="3" xr3:uid="{25A3F23F-2878-4F6F-AB1B-B6506D31586F}" name="SG Factor"/>
  </tableColumns>
  <tableStyleInfo name="TableStyleMedium3" showFirstColumn="0" showLastColumn="0" showRowStripes="1" showColumnStripes="0"/>
</table>
</file>

<file path=xl/tables/table8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0" xr:uid="{09D61566-A945-428C-8B72-997195586743}" name="Table127163191" displayName="Table127163191" ref="A2:M56" totalsRowShown="0">
  <autoFilter ref="A2:M56" xr:uid="{91B2D5C3-BD49-4471-9D0D-DD813957B41A}"/>
  <tableColumns count="13">
    <tableColumn id="1" xr3:uid="{62F6A6B9-CAD2-4DC1-A29D-637A80512F2C}" name="Start Number"/>
    <tableColumn id="2" xr3:uid="{C2619DEA-ED9C-4F0E-9A5D-3A96A835042F}" name="Bib"/>
    <tableColumn id="3" xr3:uid="{E3ED6B1A-6A33-40D3-AE50-A09CC45BAB9A}" name="Club/Quota"/>
    <tableColumn id="4" xr3:uid="{79406015-E2FE-4EF4-8269-9AA31917A618}" name="Class"/>
    <tableColumn id="5" xr3:uid="{D5D59C08-C3DF-4E10-BFF0-5409E1A3E612}" name="Full Name"/>
    <tableColumn id="6" xr3:uid="{E77CB0B5-FC8E-4324-8519-FB897527ACAA}" name="Year of Birth"/>
    <tableColumn id="7" xr3:uid="{170962C2-2769-4188-B801-DF39611DE925}" name="First Run Result" dataDxfId="227"/>
    <tableColumn id="8" xr3:uid="{0B85416E-2E97-4132-9247-E0BA9E81C735}" name="Second Run Result" dataDxfId="226"/>
    <tableColumn id="9" xr3:uid="{9C8AB728-587D-42D6-ABDA-3C1207C24083}" name="Combined Result" dataDxfId="225"/>
    <tableColumn id="10" xr3:uid="{CEEFCB72-7B3E-43EE-B14E-35FFA574C894}" name="FIS Number"/>
    <tableColumn id="11" xr3:uid="{D4F4996A-4232-40DE-8ADF-2B1A4921A067}" name="NAT Number" dataDxfId="224"/>
    <tableColumn id="12" xr3:uid="{0434C9C2-E6DE-43A3-AB8A-8D716E12C37A}" name="run 1 times" dataDxfId="223">
      <calculatedColumnFormula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3" xr3:uid="{3EE487EB-9A64-4CD2-9623-9163FD654E36}" name="run 1 points" dataDxfId="222">
      <calculatedColumnFormula>IF(Table127163191[[#This Row],[run 1 times]]="",999.99,IF(Table127163191[[#This Row],[run 1 times]]=$O$3,0,MAX(0,ROUND(((Table127163191[[#This Row],[run 1 times]]-$O$3)/$O$3)*$Q$6,2))))</calculatedColumnFormula>
    </tableColumn>
  </tableColumns>
  <tableStyleInfo name="TableStyleMedium2" showFirstColumn="0" showLastColumn="0" showRowStripes="1" showColumnStripes="0"/>
</table>
</file>

<file path=xl/tables/table8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1" xr:uid="{9E3E6819-4977-4B27-9ABB-01081A1B0F55}" name="Table138173292" displayName="Table138173292" ref="O2:Q3" totalsRowShown="0" dataDxfId="221">
  <autoFilter ref="O2:Q3" xr:uid="{1E967C82-9863-4FB8-B686-759949E1096A}"/>
  <tableColumns count="3">
    <tableColumn id="1" xr3:uid="{71689A85-7A9C-4791-8EC6-8B86FBA9358F}" name="run 1 best time" dataDxfId="220">
      <calculatedColumnFormula>MIN(Table127163191[run 1 times])</calculatedColumnFormula>
    </tableColumn>
    <tableColumn id="2" xr3:uid="{3C525B4E-684A-46B0-8CBF-2BEBC46C0C24}" name="run 1 best time2" dataDxfId="219">
      <calculatedColumnFormula>MIN(#REF!)</calculatedColumnFormula>
    </tableColumn>
    <tableColumn id="3" xr3:uid="{581BBA61-F865-4A6F-B272-F42B1BC54BC8}" name="combined best time" dataDxfId="218">
      <calculatedColumnFormula>MIN(#REF!)</calculatedColumnFormula>
    </tableColumn>
  </tableColumns>
  <tableStyleInfo name="TableStyleMedium4" showFirstColumn="0" showLastColumn="0" showRowStripes="1" showColumnStripes="0"/>
</table>
</file>

<file path=xl/tables/table8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2" xr:uid="{66E8AACE-244E-482F-8BB7-0F148C916978}" name="Table149183393" displayName="Table149183393" ref="O5:Q6" totalsRowShown="0">
  <autoFilter ref="O5:Q6" xr:uid="{8A7932AC-08B3-45BE-A62F-71E99F9C6FCB}"/>
  <tableColumns count="3">
    <tableColumn id="1" xr3:uid="{9FB1C232-2FCA-41AF-8CDA-0854E55A28C3}" name="Slalom Factor"/>
    <tableColumn id="2" xr3:uid="{41BC743D-8703-4EA0-853C-60A1D2326E2D}" name="GS Factor"/>
    <tableColumn id="3" xr3:uid="{21AE1861-3B62-4D92-B897-15144F48999F}" name="SG Factor"/>
  </tableColumns>
  <tableStyleInfo name="TableStyleMedium3" showFirstColumn="0" showLastColumn="0" showRowStripes="1" showColumnStripes="0"/>
</table>
</file>

<file path=xl/tables/table8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3" xr:uid="{8A3CA1C2-CC7A-454C-B6D6-F8EDC7EBD6AA}" name="Table122110193494" displayName="Table122110193494" ref="S2:AE56" totalsRowShown="0">
  <autoFilter ref="S2:AE56" xr:uid="{5C573A4F-9860-45EF-8B7A-2953F0241575}"/>
  <sortState xmlns:xlrd2="http://schemas.microsoft.com/office/spreadsheetml/2017/richdata2" ref="S3:AE6">
    <sortCondition ref="AD2:AD6"/>
  </sortState>
  <tableColumns count="13">
    <tableColumn id="1" xr3:uid="{93C5ECE8-1820-458B-ADF9-9131CAAFD0D7}" name="Start Number"/>
    <tableColumn id="2" xr3:uid="{8BD32D6A-EB4D-4434-99A5-5643ADD77D17}" name="Bib"/>
    <tableColumn id="3" xr3:uid="{B98B0909-600F-4E4F-A593-8A3730CF852E}" name="Club/Quota"/>
    <tableColumn id="4" xr3:uid="{F6EB9638-D88C-4F8E-BDC8-EE750B9534D6}" name="Class"/>
    <tableColumn id="5" xr3:uid="{844BAF80-BBED-4973-BDDA-C129B787A9C4}" name="Full Name"/>
    <tableColumn id="6" xr3:uid="{F448B8C2-EBE4-4A64-9F5C-DE49B33D3C34}" name="Year of Birth"/>
    <tableColumn id="7" xr3:uid="{058B8FCB-FF49-41E6-811A-3D83E28429CE}" name="First Run Result" dataDxfId="217"/>
    <tableColumn id="8" xr3:uid="{5252A280-FD9B-44C7-B9FC-59E5DB751641}" name="Second Run Result" dataDxfId="216"/>
    <tableColumn id="9" xr3:uid="{7A7620D0-47A6-49C6-B8DC-AF29D00B1A11}" name="Combined Result" dataDxfId="215"/>
    <tableColumn id="10" xr3:uid="{8191E2A3-1191-463E-A7AD-99411CD15767}" name="FIS Number"/>
    <tableColumn id="11" xr3:uid="{97178303-88BD-4AA2-A43F-E1DC91D4B5DA}" name="NAT Number" dataDxfId="214"/>
    <tableColumn id="12" xr3:uid="{3F6C971B-1055-4AA4-A77F-94F20023BE72}" name="run 1 times" dataDxfId="213">
      <calculatedColumnFormula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3" xr3:uid="{FB05338B-F42E-4434-B69F-D440348CB106}" name="run 1 points" dataDxfId="212">
      <calculatedColumnFormula>IF(Table122110193494[[#This Row],[run 1 times]]="",999.99,IF(Table122110193494[[#This Row],[run 1 times]]=$AG$3,0,MAX(0,ROUND(((Table122110193494[[#This Row],[run 1 times]]-$AG$3)/$AG$3)*$AI$6,2))))</calculatedColumnFormula>
    </tableColumn>
  </tableColumns>
  <tableStyleInfo name="TableStyleMedium2" showFirstColumn="0" showLastColumn="0" showRowStripes="1" showColumnStripes="0"/>
</table>
</file>

<file path=xl/tables/table8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4" xr:uid="{C5E916D3-B369-44C7-8402-E7F5A31600C5}" name="Table132211203595" displayName="Table132211203595" ref="AG2:AI3" totalsRowShown="0" dataDxfId="211">
  <autoFilter ref="AG2:AI3" xr:uid="{1E9C9419-73B1-4B02-B3E7-CFAF1623B428}"/>
  <tableColumns count="3">
    <tableColumn id="1" xr3:uid="{6A85439F-F60F-470F-98B7-F2EA688BA189}" name="run 1 best time" dataDxfId="210">
      <calculatedColumnFormula>MIN(Table122110193494[run 1 times])</calculatedColumnFormula>
    </tableColumn>
    <tableColumn id="2" xr3:uid="{421EA7E9-E71A-4837-89AC-D1CE1813B3A2}" name="run 1 best time2" dataDxfId="209">
      <calculatedColumnFormula>MIN(#REF!)</calculatedColumnFormula>
    </tableColumn>
    <tableColumn id="3" xr3:uid="{42C3731D-D1F8-4A3D-BAB7-F9BFDDEA9B92}" name="combined best time" dataDxfId="208">
      <calculatedColumnFormula>MIN(#REF!)</calculatedColumnFormula>
    </tableColumn>
  </tableColumns>
  <tableStyleInfo name="TableStyleMedium4" showFirstColumn="0" showLastColumn="0" showRowStripes="1" showColumnStripes="0"/>
</table>
</file>

<file path=xl/tables/table8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5" xr:uid="{70CF02B3-C82F-46CF-9EE8-A0A35531B0F5}" name="Table142312243696" displayName="Table142312243696" ref="AG5:AI6" totalsRowShown="0">
  <autoFilter ref="AG5:AI6" xr:uid="{8B09D38B-D3CE-4490-A64E-0B065C702DDC}"/>
  <tableColumns count="3">
    <tableColumn id="1" xr3:uid="{E95803C2-DFCF-4834-B0DE-BFF4C47459A4}" name="Slalom Factor"/>
    <tableColumn id="2" xr3:uid="{76B914E8-40CC-4793-B412-18DF852D2496}" name="GS Factor"/>
    <tableColumn id="3" xr3:uid="{51B99917-0672-44E6-A7A1-6E4C8B0A3064}" name="SG Factor"/>
  </tableColumns>
  <tableStyleInfo name="TableStyleMedium3" showFirstColumn="0" showLastColumn="0" showRowStripes="1" showColumnStripes="0"/>
</table>
</file>

<file path=xl/tables/table8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2" xr:uid="{4B7E6803-D8B4-4004-AC23-6B4D326844EB}" name="Table127163143556797103" displayName="Table127163143556797103" ref="A2:Q54" totalsRowShown="0">
  <autoFilter ref="A2:Q54" xr:uid="{91B2D5C3-BD49-4471-9D0D-DD813957B41A}"/>
  <tableColumns count="17">
    <tableColumn id="1" xr3:uid="{4CF54FEC-D32D-4167-8613-B191C9C4BDF6}" name="Start Number"/>
    <tableColumn id="2" xr3:uid="{5873F947-5C04-4154-95C5-C19A7A71AF3A}" name="Bib"/>
    <tableColumn id="3" xr3:uid="{6D2AD7E5-0D8B-4EAF-A18C-2724E5F401B6}" name="Club/Quota"/>
    <tableColumn id="4" xr3:uid="{41D91B99-7F29-4183-B345-A9EBF9347BA1}" name="Class"/>
    <tableColumn id="5" xr3:uid="{0B8A4088-ECE2-4566-B446-B400A21DC580}" name="Full Name"/>
    <tableColumn id="6" xr3:uid="{A52E6DFD-3ABB-44C8-ADF1-83EEEC928064}" name="Year of Birth"/>
    <tableColumn id="7" xr3:uid="{31CBDF3D-DD32-4CB3-9F07-8379FB1C767E}" name="First Run Result" dataDxfId="207"/>
    <tableColumn id="8" xr3:uid="{01006196-A70C-4611-A0FD-C5704A3FCF06}" name="Second Run Result" dataDxfId="206"/>
    <tableColumn id="9" xr3:uid="{1D2F7E3C-CFA2-48BA-BEA8-B7E7383D4DF0}" name="Combined Result" dataDxfId="205"/>
    <tableColumn id="10" xr3:uid="{3CB62337-D5F5-4AFF-829C-BD7A5B37274C}" name="FIS Number"/>
    <tableColumn id="11" xr3:uid="{8242AF12-E525-4FCE-B346-316D8A2C5976}" name="NAT Number"/>
    <tableColumn id="12" xr3:uid="{3C565954-6808-4BE3-B838-02F27531406E}" name="run 1 times" dataDxfId="204">
      <calculatedColumnFormula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3" xr3:uid="{A482659B-EAC6-4EDF-A262-B9F0E63F4090}" name="run 1 points" dataDxfId="203">
      <calculatedColumnFormula>IF(Table127163143556797103[[#This Row],[run 1 times]]="",999.99,IF(Table127163143556797103[[#This Row],[run 1 times]]=$S$3,0,MAX(0,ROUND(((Table127163143556797103[[#This Row],[run 1 times]]-$S$3)/$S$3)*$T$6,2))))</calculatedColumnFormula>
    </tableColumn>
    <tableColumn id="14" xr3:uid="{01C438A4-8CE4-4A3F-8218-E5E1C4107D13}" name="run2 times" dataDxfId="202">
      <calculatedColumnFormula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5" xr3:uid="{61487DF3-64F5-4888-8340-68850FC36004}" name="run 2 points" dataDxfId="201">
      <calculatedColumnFormula>IF(Table127163143556797103[[#This Row],[run2 times]]="",999.99,IF(Table127163143556797103[[#This Row],[run2 times]]=$T$3,0,MAX(0,ROUND(((Table127163143556797103[[#This Row],[run2 times]]-$T$3)/$T$3)*$T$6,2))))</calculatedColumnFormula>
    </tableColumn>
    <tableColumn id="16" xr3:uid="{38F028D0-4420-4771-ADAB-7B58A910C3AE}" name="total time" dataDxfId="200">
      <calculatedColumnFormula>IF(OR(Table127163143556797103[[#This Row],[run 1 times]]="",Table127163143556797103[[#This Row],[run2 times]]=""),"",Table127163143556797103[[#This Row],[run 1 times]]+Table127163143556797103[[#This Row],[run2 times]])</calculatedColumnFormula>
    </tableColumn>
    <tableColumn id="17" xr3:uid="{6A26608E-D03A-4AF2-8682-663A2E6CEF55}" name="TT race points" dataDxfId="199">
      <calculatedColumnFormula>IF(Table127163143556797103[[#This Row],[total time]]="",999.99,IF(Table127163143556797103[[#This Row],[total time]]=$U$3,0,MAX(0,ROUND(((Table127163143556797103[[#This Row],[total time]]-$U$3)/$U$3)*$T$6,2))))</calculatedColumnFormula>
    </tableColumn>
  </tableColumns>
  <tableStyleInfo name="TableStyleMedium2" showFirstColumn="0" showLastColumn="0" showRowStripes="1" showColumnStripes="0"/>
</table>
</file>

<file path=xl/tables/table8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3" xr:uid="{3C92A1FE-D772-4362-8DB3-31C071DD8C6D}" name="Table138173244566898104" displayName="Table138173244566898104" ref="S2:U3" totalsRowShown="0" dataDxfId="198">
  <autoFilter ref="S2:U3" xr:uid="{1E967C82-9863-4FB8-B686-759949E1096A}"/>
  <tableColumns count="3">
    <tableColumn id="1" xr3:uid="{93B10053-6E45-4F31-920C-C9500E687A34}" name="run 1 best time" dataDxfId="197">
      <calculatedColumnFormula>MIN(Table127163143556797103[run 1 times])</calculatedColumnFormula>
    </tableColumn>
    <tableColumn id="2" xr3:uid="{7BA8A2DF-4DE0-4260-936F-9AF589DA2E08}" name="run 1 best time2" dataDxfId="196">
      <calculatedColumnFormula>MIN(Table127163143556797103[run2 times])</calculatedColumnFormula>
    </tableColumn>
    <tableColumn id="3" xr3:uid="{4759CD17-1BE1-4166-A502-4CEA1223A1A5}" name="combined best time" dataDxfId="195">
      <calculatedColumnFormula>MIN(Table127163143556797103[total time])</calculatedColumnFormula>
    </tableColumn>
  </tableColumns>
  <tableStyleInfo name="TableStyleMedium4" showFirstColumn="0" showLastColumn="0" showRowStripes="1" showColumnStripes="0"/>
</table>
</file>

<file path=xl/tables/table8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4" xr:uid="{3E001ADB-5973-4C15-9075-38F9D9AE4CFF}" name="Table149183345576999105" displayName="Table149183345576999105" ref="S5:U6" totalsRowShown="0">
  <autoFilter ref="S5:U6" xr:uid="{8A7932AC-08B3-45BE-A62F-71E99F9C6FCB}"/>
  <tableColumns count="3">
    <tableColumn id="1" xr3:uid="{2BE5E8A8-AAE8-432E-9593-A84F119E43E0}" name="Slalom Factor"/>
    <tableColumn id="2" xr3:uid="{54CA734E-A7D0-4660-A534-C16550446E69}" name="GS Factor"/>
    <tableColumn id="3" xr3:uid="{F7C92D5F-6303-448C-83EA-6E58F0946EDF}" name="SG Factor"/>
  </tableColumns>
  <tableStyleInfo name="TableStyleMedium3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1" xr:uid="{C8542D79-0C00-40CF-B80F-10E3A6AE050D}" name="Table126182" displayName="Table126182" ref="AO2:AY20" totalsRowShown="0">
  <autoFilter ref="AO2:AY20" xr:uid="{5869560C-5090-4E74-ACA4-FC05EEFA980A}"/>
  <sortState xmlns:xlrd2="http://schemas.microsoft.com/office/spreadsheetml/2017/richdata2" ref="AO3:AY20">
    <sortCondition ref="AY2:AY20"/>
  </sortState>
  <tableColumns count="11">
    <tableColumn id="1" xr3:uid="{24D51275-3AEA-4462-8716-1B9F7EAC9186}" name="ACA Number"/>
    <tableColumn id="2" xr3:uid="{FBDC3078-2B49-46E7-A0D4-A05D0BBC6323}" name="name "/>
    <tableColumn id="3" xr3:uid="{2BA9F156-7CFE-4FC3-828D-C4063416A1D7}" name="Category"/>
    <tableColumn id="4" xr3:uid="{EADFA969-08B5-475C-9950-2D36494A016D}" name="SL 1 run" dataDxfId="607">
      <calculatedColumnFormula>_xlfn.XLOOKUP(Table126182[[#This Row],[ACA Number]],Table121177[ACA Number],Table121177[Best 1 run SL race])</calculatedColumnFormula>
    </tableColumn>
    <tableColumn id="5" xr3:uid="{29D0A7E3-151B-4950-B391-3D7464F0F3CB}" name="GS 1 Run" dataDxfId="606">
      <calculatedColumnFormula>_xlfn.XLOOKUP(Table126182[[#This Row],[ACA Number]],Table123179[ACA Number],Table123179[Best 1 Run])</calculatedColumnFormula>
    </tableColumn>
    <tableColumn id="7" xr3:uid="{164AF3E3-2A4F-4D38-81C1-3B656FD2C7E7}" name="Best SL race" dataDxfId="605">
      <calculatedColumnFormula>_xlfn.XLOOKUP(Table126182[[#This Row],[ACA Number]],Table124180[ACA Number],Table124180[Best result],)</calculatedColumnFormula>
    </tableColumn>
    <tableColumn id="8" xr3:uid="{D4F6F7B9-582E-4042-B570-9994695D019F}" name="2nd Best SL race" dataDxfId="604">
      <calculatedColumnFormula>_xlfn.XLOOKUP(Table126182[[#This Row],[ACA Number]],Table124180[ACA Number],Table124180[2nd Best Result])</calculatedColumnFormula>
    </tableColumn>
    <tableColumn id="9" xr3:uid="{EE9D8132-7CBD-4BAA-A372-C933EAD4D138}" name="Best GS race" dataDxfId="603">
      <calculatedColumnFormula>_xlfn.XLOOKUP(Table126182[[#This Row],[ACA Number]],Table125181[ACA Number],Table125181[Best result])</calculatedColumnFormula>
    </tableColumn>
    <tableColumn id="10" xr3:uid="{4730948D-9B90-46BD-96B3-3EFF667CFCD5}" name="2nd Best GS race" dataDxfId="602">
      <calculatedColumnFormula>_xlfn.XLOOKUP(Table126182[[#This Row],[ACA Number]],Table125181[ACA Number],Table125181[2nd Best Result])</calculatedColumnFormula>
    </tableColumn>
    <tableColumn id="11" xr3:uid="{32BE6B7D-67F7-43EA-AB65-2D39E4CC61EF}" name="Total Points" dataDxfId="601">
      <calculatedColumnFormula>SUM(AR3:AW3)</calculatedColumnFormula>
    </tableColumn>
    <tableColumn id="12" xr3:uid="{82FD58AC-183E-4D9E-BF25-1743FD7FF343}" name="Position" dataDxfId="600">
      <calculatedColumnFormula>_xlfn.RANK.EQ(Table126182[[#This Row],[Total Points]],Table126182[Total Points],1)</calculatedColumnFormula>
    </tableColumn>
  </tableColumns>
  <tableStyleInfo name="TableStyleMedium5" showFirstColumn="0" showLastColumn="0" showRowStripes="1" showColumnStripes="0"/>
</table>
</file>

<file path=xl/tables/table9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5" xr:uid="{2394D404-28B0-42AA-BA74-1FBD2682FBFD}" name="Table1221101934465870100106" displayName="Table1221101934465870100106" ref="W2:AM38" totalsRowShown="0">
  <autoFilter ref="W2:AM38" xr:uid="{5C573A4F-9860-45EF-8B7A-2953F0241575}"/>
  <sortState xmlns:xlrd2="http://schemas.microsoft.com/office/spreadsheetml/2017/richdata2" ref="W3:AM6">
    <sortCondition ref="AH2:AH6"/>
  </sortState>
  <tableColumns count="17">
    <tableColumn id="1" xr3:uid="{B649C7E2-7223-4FA2-8603-057C6685288A}" name="Start Number"/>
    <tableColumn id="2" xr3:uid="{53C277B5-B243-412A-A341-9D4F8AB4ECF2}" name="Bib"/>
    <tableColumn id="3" xr3:uid="{A7771C1E-C8AE-4F62-9D80-6B3402286556}" name="Club/Quota"/>
    <tableColumn id="4" xr3:uid="{A07224E4-BFCC-46F4-BA4D-61A085616BA7}" name="Class"/>
    <tableColumn id="5" xr3:uid="{93BA7563-CA88-460C-B8A6-573B70AD3F3A}" name="Full Name"/>
    <tableColumn id="6" xr3:uid="{85AF4F1A-F6B0-499F-A1DC-26590B3BA8DD}" name="Year of Birth"/>
    <tableColumn id="7" xr3:uid="{A705E2A7-75C8-4254-AD9B-AA650E59EA97}" name="First Run Result" dataDxfId="194"/>
    <tableColumn id="8" xr3:uid="{A1A68343-C433-44BF-AD39-B0D5D389B8B0}" name="Second Run Result" dataDxfId="193"/>
    <tableColumn id="9" xr3:uid="{ED94363D-84B3-4A45-B1C7-CC145BC8B77A}" name="Combined Result" dataDxfId="192"/>
    <tableColumn id="10" xr3:uid="{EC4CFAD4-D6A9-464E-B59D-DB78DF2A171E}" name="FIS Number"/>
    <tableColumn id="11" xr3:uid="{843E37BD-A7B2-4E1D-9908-8EB54846115F}" name="NAT Number"/>
    <tableColumn id="12" xr3:uid="{1962A6A2-18F6-4857-A6B9-EBD8A68A59EF}" name="run 1 times" dataDxfId="191">
      <calculatedColumnFormula>_xlfn.LET(_xlpm.x,Table1221101934465870100106[[#This Row],[First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3" xr3:uid="{81333FEE-082F-41E2-AD6C-41E71C0DD703}" name="run 1 points" dataDxfId="190">
      <calculatedColumnFormula>IF(Table1221101934465870100106[[#This Row],[run 1 times]]="",999.99,IF(Table1221101934465870100106[[#This Row],[run 1 times]]=$AO$3,0,MAX(0,ROUND(((Table1221101934465870100106[[#This Row],[run 1 times]]-$AO$3)/$AO$3)*$AO$6,2))))</calculatedColumnFormula>
    </tableColumn>
    <tableColumn id="14" xr3:uid="{93A8301D-B57A-43CA-B3DC-3D717FE67026}" name="run2 times" dataDxfId="189">
      <calculatedColumnFormula>_xlfn.LET(_xlpm.x,Table1221101934465870100106[[#This Row],[Second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5" xr3:uid="{2C235A33-2807-4F8B-A2E3-6351CF0C5155}" name="run 2 points" dataDxfId="188">
      <calculatedColumnFormula>IF(Table1221101934465870100106[[#This Row],[run2 times]]="",999.99,IF(Table1221101934465870100106[[#This Row],[run2 times]]=$AP$3,0,MAX(0,ROUND(((Table1221101934465870100106[[#This Row],[run2 times]]-$AP$3)/$AP$3)*$AO$6,2))))</calculatedColumnFormula>
    </tableColumn>
    <tableColumn id="16" xr3:uid="{4A75217E-6C74-46DC-81EC-8D47DD0E7C64}" name="total time" dataDxfId="187">
      <calculatedColumnFormula>IF(OR(Table1221101934465870100106[[#This Row],[run 1 times]]="",Table1221101934465870100106[[#This Row],[run2 times]]=""),"",Table1221101934465870100106[[#This Row],[run 1 times]]+Table1221101934465870100106[[#This Row],[run2 times]])</calculatedColumnFormula>
    </tableColumn>
    <tableColumn id="17" xr3:uid="{3DC835E3-A359-441B-A41F-7F27D80BBDF1}" name="TT race points" dataDxfId="186">
      <calculatedColumnFormula>IF(Table1221101934465870100106[[#This Row],[total time]]="",999.99,IF(Table1221101934465870100106[[#This Row],[total time]]=$AQ$3,0,MAX(0,ROUND(((Table1221101934465870100106[[#This Row],[total time]]-$AQ$3)/$AQ$3)*$AO$6,2))))</calculatedColumnFormula>
    </tableColumn>
  </tableColumns>
  <tableStyleInfo name="TableStyleMedium2" showFirstColumn="0" showLastColumn="0" showRowStripes="1" showColumnStripes="0"/>
</table>
</file>

<file path=xl/tables/table9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6" xr:uid="{3A967C79-BE1F-4B48-81FF-C0293912A416}" name="Table1322112035475971101107" displayName="Table1322112035475971101107" ref="AO2:AQ3" totalsRowShown="0" dataDxfId="185">
  <autoFilter ref="AO2:AQ3" xr:uid="{1E9C9419-73B1-4B02-B3E7-CFAF1623B428}"/>
  <tableColumns count="3">
    <tableColumn id="1" xr3:uid="{00AA83AA-CC1D-4CE3-9B8E-88CAAD4BB414}" name="run 1 best time" dataDxfId="184">
      <calculatedColumnFormula>MIN(Table1221101934465870100106[run 1 times])</calculatedColumnFormula>
    </tableColumn>
    <tableColumn id="2" xr3:uid="{5F28D771-C28A-4265-AF6A-01FD21A80173}" name="run 1 best time2" dataDxfId="183">
      <calculatedColumnFormula>MIN(Table1221101934465870100106[run2 times])</calculatedColumnFormula>
    </tableColumn>
    <tableColumn id="3" xr3:uid="{54707535-DE18-46FF-85BD-74FCEC6B3A69}" name="combined best time" dataDxfId="182">
      <calculatedColumnFormula>MIN(Table1221101934465870100106[total time])</calculatedColumnFormula>
    </tableColumn>
  </tableColumns>
  <tableStyleInfo name="TableStyleMedium4" showFirstColumn="0" showLastColumn="0" showRowStripes="1" showColumnStripes="0"/>
</table>
</file>

<file path=xl/tables/table9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7" xr:uid="{D01296C8-A8DE-4C18-9008-A332AC46C220}" name="Table1423122436486072102108" displayName="Table1423122436486072102108" ref="AO5:AQ6" totalsRowShown="0">
  <autoFilter ref="AO5:AQ6" xr:uid="{8B09D38B-D3CE-4490-A64E-0B065C702DDC}"/>
  <tableColumns count="3">
    <tableColumn id="1" xr3:uid="{A1A5DD8D-4BD0-468D-B9A6-A519805E554E}" name="Slalom Factor"/>
    <tableColumn id="2" xr3:uid="{F98F3D6B-B6A2-4FE4-815A-8FC25E12037D}" name="GS Factor"/>
    <tableColumn id="3" xr3:uid="{DA01102C-CD85-4BA5-A8C2-3CA17678A66E}" name="SG Factor"/>
  </tableColumns>
  <tableStyleInfo name="TableStyleMedium3" showFirstColumn="0" showLastColumn="0" showRowStripes="1" showColumnStripes="0"/>
</table>
</file>

<file path=xl/tables/table9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2" xr:uid="{BA58137F-8F6A-4FED-B0B1-3769BC229D70}" name="Table127163137496173" displayName="Table127163137496173" ref="A2:Q52" totalsRowShown="0">
  <autoFilter ref="A2:Q52" xr:uid="{91B2D5C3-BD49-4471-9D0D-DD813957B41A}"/>
  <tableColumns count="17">
    <tableColumn id="1" xr3:uid="{16F51203-0EEA-410F-A93A-FBC6273AA5F6}" name="Start Number"/>
    <tableColumn id="2" xr3:uid="{11DF6A32-6956-492D-9DC7-91354571A36D}" name="Bib"/>
    <tableColumn id="3" xr3:uid="{C95244C3-A5BF-4403-A4B8-3A088CCC4F88}" name="Club/Quota"/>
    <tableColumn id="4" xr3:uid="{E69CE881-08B2-4419-982C-0DC5002BDAFA}" name="Class"/>
    <tableColumn id="5" xr3:uid="{DF51A719-232C-4EF1-9CB1-0DFB8F3E4EEC}" name="Full Name"/>
    <tableColumn id="6" xr3:uid="{68B9E1B0-2CDD-409D-AA6F-F7ADB9E7DB81}" name="Year of Birth"/>
    <tableColumn id="7" xr3:uid="{4069D24B-0329-4BC3-8D36-CD1F5B7396A3}" name="First Run Result" dataDxfId="181"/>
    <tableColumn id="8" xr3:uid="{BA397CF6-6215-4182-A09E-9744509ECF2B}" name="Second Run Result" dataDxfId="180"/>
    <tableColumn id="9" xr3:uid="{FE9532CB-5150-42DA-8960-9A8DA4819B4A}" name="Combined Result" dataDxfId="179"/>
    <tableColumn id="10" xr3:uid="{FD011E86-6FD6-47EB-965D-AFC04F92C7E6}" name="FIS Number"/>
    <tableColumn id="11" xr3:uid="{0CD002B7-1626-48BE-AB8E-A6D434AF01C7}" name="NAT Number"/>
    <tableColumn id="12" xr3:uid="{918956EB-78DF-488F-998B-791AD5560DC8}" name="run 1 times" dataDxfId="178">
      <calculatedColumnFormula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3" xr3:uid="{1355467F-FE3D-4FCA-8EF5-05179EB0A228}" name="run 1 points" dataDxfId="177">
      <calculatedColumnFormula>IF(Table127163137496173[[#This Row],[run 1 times]]="",999.99,IF(Table127163137496173[[#This Row],[run 1 times]]=$S$3,0,MAX(0,ROUND(((Table127163137496173[[#This Row],[run 1 times]]-$S$3)/$S$3)*$T$6,2))))</calculatedColumnFormula>
    </tableColumn>
    <tableColumn id="14" xr3:uid="{47F80254-5176-450D-99D3-AA26A84A65F1}" name="run2 times" dataDxfId="176">
      <calculatedColumnFormula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5" xr3:uid="{CFF4EE46-04AE-46D3-9F44-333C43124C10}" name="run 2 points" dataDxfId="175">
      <calculatedColumnFormula>IF(Table127163137496173[[#This Row],[run2 times]]="",999.99,IF(Table127163137496173[[#This Row],[run2 times]]=$T$3,0,MAX(0,ROUND(((Table127163137496173[[#This Row],[run2 times]]-$T$3)/$T$3)*$T$6,2))))</calculatedColumnFormula>
    </tableColumn>
    <tableColumn id="16" xr3:uid="{1163FDA3-5091-48C8-AFB8-6C6D7E2061C9}" name="total time" dataDxfId="174">
      <calculatedColumnFormula>IF(OR(Table127163137496173[[#This Row],[run 1 times]]="",Table127163137496173[[#This Row],[run2 times]]=""),"",Table127163137496173[[#This Row],[run 1 times]]+Table127163137496173[[#This Row],[run2 times]])</calculatedColumnFormula>
    </tableColumn>
    <tableColumn id="17" xr3:uid="{413ED298-55EE-43AA-8E44-3397A2656F64}" name="TT race points" dataDxfId="173">
      <calculatedColumnFormula>IF(Table127163137496173[[#This Row],[total time]]="",999.99,IF(Table127163137496173[[#This Row],[total time]]=$U$3,0,MAX(0,ROUND(((Table127163137496173[[#This Row],[total time]]-$U$3)/$U$3)*$T$6,2))))</calculatedColumnFormula>
    </tableColumn>
  </tableColumns>
  <tableStyleInfo name="TableStyleMedium2" showFirstColumn="0" showLastColumn="0" showRowStripes="1" showColumnStripes="0"/>
</table>
</file>

<file path=xl/tables/table9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3" xr:uid="{50C16B19-8616-491C-B35F-433ACFF9F635}" name="Table138173238506274" displayName="Table138173238506274" ref="S2:U3" totalsRowShown="0" dataDxfId="172">
  <autoFilter ref="S2:U3" xr:uid="{1E967C82-9863-4FB8-B686-759949E1096A}"/>
  <tableColumns count="3">
    <tableColumn id="1" xr3:uid="{053FCA19-7729-42B7-95B5-45608FA9CB22}" name="run 1 best time" dataDxfId="171">
      <calculatedColumnFormula>MIN(Table127163137496173[run 1 times])</calculatedColumnFormula>
    </tableColumn>
    <tableColumn id="2" xr3:uid="{2F45E4C3-6B6E-4CBD-9569-F5EB76AB3DFF}" name="run 1 best time2" dataDxfId="170">
      <calculatedColumnFormula>MIN(Table127163137496173[run2 times])</calculatedColumnFormula>
    </tableColumn>
    <tableColumn id="3" xr3:uid="{65DA81DA-482E-47A2-8658-C79CE0AC1FE0}" name="combined best time" dataDxfId="169">
      <calculatedColumnFormula>MIN(Table127163137496173[total time])</calculatedColumnFormula>
    </tableColumn>
  </tableColumns>
  <tableStyleInfo name="TableStyleMedium4" showFirstColumn="0" showLastColumn="0" showRowStripes="1" showColumnStripes="0"/>
</table>
</file>

<file path=xl/tables/table9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4" xr:uid="{614214B1-F4C0-413F-A75D-843200FC514F}" name="Table149183339516375" displayName="Table149183339516375" ref="S5:U6" totalsRowShown="0">
  <autoFilter ref="S5:U6" xr:uid="{8A7932AC-08B3-45BE-A62F-71E99F9C6FCB}"/>
  <tableColumns count="3">
    <tableColumn id="1" xr3:uid="{DC622501-6430-4656-8344-8DD8CC474CF5}" name="Slalom Factor"/>
    <tableColumn id="2" xr3:uid="{7D2177CF-F143-47E6-AE6D-D1695CFEC56E}" name="GS Factor"/>
    <tableColumn id="3" xr3:uid="{2C14A879-030D-4F14-8895-9B46AD883567}" name="SG Factor"/>
  </tableColumns>
  <tableStyleInfo name="TableStyleMedium3" showFirstColumn="0" showLastColumn="0" showRowStripes="1" showColumnStripes="0"/>
</table>
</file>

<file path=xl/tables/table9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5" xr:uid="{BEDEF155-C6CC-4981-A586-55ED3DC146CF}" name="Table122110193440526476" displayName="Table122110193440526476" ref="W2:AM42" totalsRowShown="0">
  <autoFilter ref="W2:AM42" xr:uid="{5C573A4F-9860-45EF-8B7A-2953F0241575}"/>
  <sortState xmlns:xlrd2="http://schemas.microsoft.com/office/spreadsheetml/2017/richdata2" ref="W3:AM6">
    <sortCondition ref="AH2:AH6"/>
  </sortState>
  <tableColumns count="17">
    <tableColumn id="1" xr3:uid="{D07B6348-C200-4D18-9179-3F1D61F08106}" name="Start Number"/>
    <tableColumn id="2" xr3:uid="{BDEF44B3-D36B-42C4-8412-A27BABC6F285}" name="Bib"/>
    <tableColumn id="3" xr3:uid="{6F0607CF-11AA-4303-B3C5-2634D305DC2D}" name="Club/Quota"/>
    <tableColumn id="4" xr3:uid="{C6F58A47-50FF-465A-9B13-5894ABFA69A5}" name="Class"/>
    <tableColumn id="5" xr3:uid="{1C07D18D-39C0-4040-AAB1-F36FA56DB011}" name="Full Name"/>
    <tableColumn id="6" xr3:uid="{605452DE-3A33-4192-9DAB-F575D6572F38}" name="Year of Birth"/>
    <tableColumn id="7" xr3:uid="{4A91A8F1-4530-4DCA-9FEC-A060ECE4A549}" name="First Run Result" dataDxfId="168"/>
    <tableColumn id="8" xr3:uid="{58385C31-BD8B-4E50-AC17-41EAEC3FE1D1}" name="Second Run Result" dataDxfId="167"/>
    <tableColumn id="9" xr3:uid="{F6B8E2B0-A353-4FDE-A9D2-8BD3E9002D1B}" name="Combined Result" dataDxfId="166"/>
    <tableColumn id="10" xr3:uid="{DD45A94B-E047-4A99-8CC4-0A3637C0160E}" name="FIS Number"/>
    <tableColumn id="11" xr3:uid="{618934AB-3D85-4885-9FA0-7DF75B10D925}" name="NAT Number"/>
    <tableColumn id="12" xr3:uid="{A5020D8C-D40D-45D0-ABB8-7EAE5F638082}" name="run 1 times" dataDxfId="165">
      <calculatedColumnFormula>_xlfn.LET(_xlpm.x,Table122110193440526476[[#This Row],[First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3" xr3:uid="{975BADF8-5D17-4682-821A-252E7EB1294F}" name="run 1 points" dataDxfId="164">
      <calculatedColumnFormula>IF(Table122110193440526476[[#This Row],[run 1 times]]="",999.99,IF(Table122110193440526476[[#This Row],[run 1 times]]=$AO$3,0,MAX(0,ROUND(((Table122110193440526476[[#This Row],[run 1 times]]-$AO$3)/$AO$3)*$AP$6,2))))</calculatedColumnFormula>
    </tableColumn>
    <tableColumn id="14" xr3:uid="{2348C7A4-2CE1-4EA3-A60A-C2A4D05A1817}" name="run2 times" dataDxfId="163">
      <calculatedColumnFormula>_xlfn.LET(_xlpm.x,Table122110193440526476[[#This Row],[Second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5" xr3:uid="{EAF1F3C1-78F1-4AF7-A040-56B5218827F0}" name="run 2 points" dataDxfId="162">
      <calculatedColumnFormula>IF(Table122110193440526476[[#This Row],[run2 times]]="",999.99,IF(Table122110193440526476[[#This Row],[run2 times]]=$AP$3,0,MAX(0,ROUND(((Table122110193440526476[[#This Row],[run2 times]]-$AP$3)/$AP$3)*$AP$6,2))))</calculatedColumnFormula>
    </tableColumn>
    <tableColumn id="16" xr3:uid="{0BB1ADEA-AFCA-4B5C-8D4D-35CD983A861C}" name="total time" dataDxfId="161">
      <calculatedColumnFormula>IF(OR(Table122110193440526476[[#This Row],[run 1 times]]="",Table122110193440526476[[#This Row],[run2 times]]=""),"",Table122110193440526476[[#This Row],[run 1 times]]+Table122110193440526476[[#This Row],[run2 times]])</calculatedColumnFormula>
    </tableColumn>
    <tableColumn id="17" xr3:uid="{D423861C-60DC-4A9E-9F0F-E8B3D6F1ED37}" name="TT race points" dataDxfId="160">
      <calculatedColumnFormula>IF(Table122110193440526476[[#This Row],[total time]]="",999.99,IF(Table122110193440526476[[#This Row],[total time]]=$AQ$3,0,MAX(0,ROUND(((Table122110193440526476[[#This Row],[total time]]-$AQ$3)/$AQ$3)*$AP$6,2))))</calculatedColumnFormula>
    </tableColumn>
  </tableColumns>
  <tableStyleInfo name="TableStyleMedium2" showFirstColumn="0" showLastColumn="0" showRowStripes="1" showColumnStripes="0"/>
</table>
</file>

<file path=xl/tables/table9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6" xr:uid="{6DD44DC3-2469-46A5-A812-D7D52C7A7539}" name="Table132211203541536577" displayName="Table132211203541536577" ref="AO2:AQ3" totalsRowShown="0" dataDxfId="159">
  <autoFilter ref="AO2:AQ3" xr:uid="{1E9C9419-73B1-4B02-B3E7-CFAF1623B428}"/>
  <tableColumns count="3">
    <tableColumn id="1" xr3:uid="{159A3147-3AEE-4B95-9F0E-961DBF312E7F}" name="run 1 best time" dataDxfId="158">
      <calculatedColumnFormula>MIN(Table122110193440526476[run 1 times])</calculatedColumnFormula>
    </tableColumn>
    <tableColumn id="2" xr3:uid="{75DA8362-D77D-4CD1-B23F-53EAE26AF8FD}" name="run 1 best time2" dataDxfId="157">
      <calculatedColumnFormula>MIN(Table122110193440526476[run2 times])</calculatedColumnFormula>
    </tableColumn>
    <tableColumn id="3" xr3:uid="{8AAAD396-08EE-4829-B9CD-C64F74F9C700}" name="combined best time" dataDxfId="156">
      <calculatedColumnFormula>MIN(Table122110193440526476[total time])</calculatedColumnFormula>
    </tableColumn>
  </tableColumns>
  <tableStyleInfo name="TableStyleMedium4" showFirstColumn="0" showLastColumn="0" showRowStripes="1" showColumnStripes="0"/>
</table>
</file>

<file path=xl/tables/table9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7" xr:uid="{F687819E-ED65-4F3E-A0BB-7B6CF290202A}" name="Table142312243642546678" displayName="Table142312243642546678" ref="AO5:AQ6" totalsRowShown="0">
  <autoFilter ref="AO5:AQ6" xr:uid="{8B09D38B-D3CE-4490-A64E-0B065C702DDC}"/>
  <tableColumns count="3">
    <tableColumn id="1" xr3:uid="{CE6E37EC-540F-4094-8ACE-53C46FE370C7}" name="Slalom Factor"/>
    <tableColumn id="2" xr3:uid="{CD61A5F9-A91C-478B-B83A-690587312F22}" name="GS Factor"/>
    <tableColumn id="3" xr3:uid="{FA46CC25-585B-42EC-82D3-3C2F6EC59DE2}" name="SG Factor"/>
  </tableColumns>
  <tableStyleInfo name="TableStyleMedium3" showFirstColumn="0" showLastColumn="0" showRowStripes="1" showColumnStripes="0"/>
</table>
</file>

<file path=xl/tables/table9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6" xr:uid="{AC1E9F70-81DF-4462-8900-BC7CE8D238AD}" name="Table127163143556797" displayName="Table127163143556797" ref="A2:Q54" totalsRowShown="0">
  <autoFilter ref="A2:Q54" xr:uid="{91B2D5C3-BD49-4471-9D0D-DD813957B41A}"/>
  <tableColumns count="17">
    <tableColumn id="1" xr3:uid="{C693813E-C12A-48A9-9422-A687391B51C5}" name="Start Number"/>
    <tableColumn id="2" xr3:uid="{C69DBFDD-B72A-49D2-BBA3-F4720B1148CC}" name="Bib"/>
    <tableColumn id="3" xr3:uid="{A7A8A225-16EF-4C88-9A88-464B44F6081D}" name="Club/Quota"/>
    <tableColumn id="4" xr3:uid="{6FBCA555-7E4C-47D7-8074-8E4A391FCB6E}" name="Class"/>
    <tableColumn id="5" xr3:uid="{91A694B6-C33A-4FB1-8F23-966BF64F3008}" name="Full Name"/>
    <tableColumn id="6" xr3:uid="{141D42C8-6776-44AA-A8E3-91D2AF2A99E4}" name="Year of Birth"/>
    <tableColumn id="7" xr3:uid="{81677A3F-C576-49B1-AACA-A28F64DB89E7}" name="First Run Result" dataDxfId="155"/>
    <tableColumn id="8" xr3:uid="{8B30CDD7-20D0-4DDC-B463-884073769BEE}" name="Second Run Result" dataDxfId="154"/>
    <tableColumn id="9" xr3:uid="{EF4F5C10-5979-4F0E-BA3A-823D523B4F2B}" name="Combined Result" dataDxfId="153"/>
    <tableColumn id="10" xr3:uid="{9F117373-4DFD-443F-9260-BD68EBAF6FA8}" name="FIS Number"/>
    <tableColumn id="11" xr3:uid="{D9DC514B-13F0-46CA-B49B-3BA467EC5F76}" name="NAT Number"/>
    <tableColumn id="12" xr3:uid="{7F97ABA2-46EC-4716-8363-987443A559BB}" name="run 1 times" dataDxfId="152">
      <calculatedColumnFormula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3" xr3:uid="{AA56DC7F-9D5F-46EC-AB4A-BA340CB53B07}" name="run 1 points" dataDxfId="151">
      <calculatedColumnFormula>IF(Table127163143556797[[#This Row],[run 1 times]]="",999.99,IF(Table127163143556797[[#This Row],[run 1 times]]=$S$3,0,MAX(0,ROUND(((Table127163143556797[[#This Row],[run 1 times]]-$S$3)/$S$3)*$T$6,2))))</calculatedColumnFormula>
    </tableColumn>
    <tableColumn id="14" xr3:uid="{30B3052F-7A04-4055-8974-DBCFAC05553B}" name="run2 times" dataDxfId="150">
      <calculatedColumnFormula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calculatedColumnFormula>
    </tableColumn>
    <tableColumn id="15" xr3:uid="{DD9985D6-5DFE-4F7B-82F9-F884CE5D4AE8}" name="run 2 points" dataDxfId="149">
      <calculatedColumnFormula>IF(Table127163143556797[[#This Row],[run2 times]]="",999.99,IF(Table127163143556797[[#This Row],[run2 times]]=$T$3,0,MAX(0,ROUND(((Table127163143556797[[#This Row],[run2 times]]-$T$3)/$T$3)*$T$6,2))))</calculatedColumnFormula>
    </tableColumn>
    <tableColumn id="16" xr3:uid="{437DE7A5-63C7-4E3F-ACCB-0BFBA276EE62}" name="total time" dataDxfId="148">
      <calculatedColumnFormula>IF(OR(Table127163143556797[[#This Row],[run 1 times]]="",Table127163143556797[[#This Row],[run2 times]]=""),"",Table127163143556797[[#This Row],[run 1 times]]+Table127163143556797[[#This Row],[run2 times]])</calculatedColumnFormula>
    </tableColumn>
    <tableColumn id="17" xr3:uid="{A6327059-481E-4D11-A1EA-C65875970D24}" name="TT race points" dataDxfId="147">
      <calculatedColumnFormula>IF(Table127163143556797[[#This Row],[total time]]="",999.99,IF(Table127163143556797[[#This Row],[total time]]=$U$3,0,MAX(0,ROUND(((Table127163143556797[[#This Row],[total time]]-$U$3)/$U$3)*$T$6,2))))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7.xml"/><Relationship Id="rId2" Type="http://schemas.openxmlformats.org/officeDocument/2006/relationships/table" Target="../tables/table46.xml"/><Relationship Id="rId1" Type="http://schemas.openxmlformats.org/officeDocument/2006/relationships/table" Target="../tables/table45.xml"/><Relationship Id="rId6" Type="http://schemas.openxmlformats.org/officeDocument/2006/relationships/table" Target="../tables/table50.xml"/><Relationship Id="rId5" Type="http://schemas.openxmlformats.org/officeDocument/2006/relationships/table" Target="../tables/table49.xml"/><Relationship Id="rId4" Type="http://schemas.openxmlformats.org/officeDocument/2006/relationships/table" Target="../tables/table48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3.xml"/><Relationship Id="rId2" Type="http://schemas.openxmlformats.org/officeDocument/2006/relationships/table" Target="../tables/table52.xml"/><Relationship Id="rId1" Type="http://schemas.openxmlformats.org/officeDocument/2006/relationships/table" Target="../tables/table51.xml"/><Relationship Id="rId6" Type="http://schemas.openxmlformats.org/officeDocument/2006/relationships/table" Target="../tables/table56.xml"/><Relationship Id="rId5" Type="http://schemas.openxmlformats.org/officeDocument/2006/relationships/table" Target="../tables/table55.xml"/><Relationship Id="rId4" Type="http://schemas.openxmlformats.org/officeDocument/2006/relationships/table" Target="../tables/table54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9.xml"/><Relationship Id="rId2" Type="http://schemas.openxmlformats.org/officeDocument/2006/relationships/table" Target="../tables/table58.xml"/><Relationship Id="rId1" Type="http://schemas.openxmlformats.org/officeDocument/2006/relationships/table" Target="../tables/table57.xml"/><Relationship Id="rId6" Type="http://schemas.openxmlformats.org/officeDocument/2006/relationships/table" Target="../tables/table62.xml"/><Relationship Id="rId5" Type="http://schemas.openxmlformats.org/officeDocument/2006/relationships/table" Target="../tables/table61.xml"/><Relationship Id="rId4" Type="http://schemas.openxmlformats.org/officeDocument/2006/relationships/table" Target="../tables/table60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5.xml"/><Relationship Id="rId2" Type="http://schemas.openxmlformats.org/officeDocument/2006/relationships/table" Target="../tables/table64.xml"/><Relationship Id="rId1" Type="http://schemas.openxmlformats.org/officeDocument/2006/relationships/table" Target="../tables/table63.xml"/><Relationship Id="rId6" Type="http://schemas.openxmlformats.org/officeDocument/2006/relationships/table" Target="../tables/table68.xml"/><Relationship Id="rId5" Type="http://schemas.openxmlformats.org/officeDocument/2006/relationships/table" Target="../tables/table67.xml"/><Relationship Id="rId4" Type="http://schemas.openxmlformats.org/officeDocument/2006/relationships/table" Target="../tables/table66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1.xml"/><Relationship Id="rId2" Type="http://schemas.openxmlformats.org/officeDocument/2006/relationships/table" Target="../tables/table70.xml"/><Relationship Id="rId1" Type="http://schemas.openxmlformats.org/officeDocument/2006/relationships/table" Target="../tables/table69.xml"/><Relationship Id="rId6" Type="http://schemas.openxmlformats.org/officeDocument/2006/relationships/table" Target="../tables/table74.xml"/><Relationship Id="rId5" Type="http://schemas.openxmlformats.org/officeDocument/2006/relationships/table" Target="../tables/table73.xml"/><Relationship Id="rId4" Type="http://schemas.openxmlformats.org/officeDocument/2006/relationships/table" Target="../tables/table72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7.xml"/><Relationship Id="rId2" Type="http://schemas.openxmlformats.org/officeDocument/2006/relationships/table" Target="../tables/table76.xml"/><Relationship Id="rId1" Type="http://schemas.openxmlformats.org/officeDocument/2006/relationships/table" Target="../tables/table75.xml"/><Relationship Id="rId6" Type="http://schemas.openxmlformats.org/officeDocument/2006/relationships/table" Target="../tables/table80.xml"/><Relationship Id="rId5" Type="http://schemas.openxmlformats.org/officeDocument/2006/relationships/table" Target="../tables/table79.xml"/><Relationship Id="rId4" Type="http://schemas.openxmlformats.org/officeDocument/2006/relationships/table" Target="../tables/table78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3.xml"/><Relationship Id="rId2" Type="http://schemas.openxmlformats.org/officeDocument/2006/relationships/table" Target="../tables/table82.xml"/><Relationship Id="rId1" Type="http://schemas.openxmlformats.org/officeDocument/2006/relationships/table" Target="../tables/table81.xml"/><Relationship Id="rId6" Type="http://schemas.openxmlformats.org/officeDocument/2006/relationships/table" Target="../tables/table86.xml"/><Relationship Id="rId5" Type="http://schemas.openxmlformats.org/officeDocument/2006/relationships/table" Target="../tables/table85.xml"/><Relationship Id="rId4" Type="http://schemas.openxmlformats.org/officeDocument/2006/relationships/table" Target="../tables/table84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9.xml"/><Relationship Id="rId2" Type="http://schemas.openxmlformats.org/officeDocument/2006/relationships/table" Target="../tables/table88.xml"/><Relationship Id="rId1" Type="http://schemas.openxmlformats.org/officeDocument/2006/relationships/table" Target="../tables/table87.xml"/><Relationship Id="rId6" Type="http://schemas.openxmlformats.org/officeDocument/2006/relationships/table" Target="../tables/table92.xml"/><Relationship Id="rId5" Type="http://schemas.openxmlformats.org/officeDocument/2006/relationships/table" Target="../tables/table91.xml"/><Relationship Id="rId4" Type="http://schemas.openxmlformats.org/officeDocument/2006/relationships/table" Target="../tables/table90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5.xml"/><Relationship Id="rId2" Type="http://schemas.openxmlformats.org/officeDocument/2006/relationships/table" Target="../tables/table94.xml"/><Relationship Id="rId1" Type="http://schemas.openxmlformats.org/officeDocument/2006/relationships/table" Target="../tables/table93.xml"/><Relationship Id="rId6" Type="http://schemas.openxmlformats.org/officeDocument/2006/relationships/table" Target="../tables/table98.xml"/><Relationship Id="rId5" Type="http://schemas.openxmlformats.org/officeDocument/2006/relationships/table" Target="../tables/table97.xml"/><Relationship Id="rId4" Type="http://schemas.openxmlformats.org/officeDocument/2006/relationships/table" Target="../tables/table96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1.xml"/><Relationship Id="rId2" Type="http://schemas.openxmlformats.org/officeDocument/2006/relationships/table" Target="../tables/table100.xml"/><Relationship Id="rId1" Type="http://schemas.openxmlformats.org/officeDocument/2006/relationships/table" Target="../tables/table99.xml"/><Relationship Id="rId6" Type="http://schemas.openxmlformats.org/officeDocument/2006/relationships/table" Target="../tables/table104.xml"/><Relationship Id="rId5" Type="http://schemas.openxmlformats.org/officeDocument/2006/relationships/table" Target="../tables/table103.xml"/><Relationship Id="rId4" Type="http://schemas.openxmlformats.org/officeDocument/2006/relationships/table" Target="../tables/table10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7.xml"/><Relationship Id="rId2" Type="http://schemas.openxmlformats.org/officeDocument/2006/relationships/table" Target="../tables/table106.xml"/><Relationship Id="rId1" Type="http://schemas.openxmlformats.org/officeDocument/2006/relationships/table" Target="../tables/table105.xml"/><Relationship Id="rId6" Type="http://schemas.openxmlformats.org/officeDocument/2006/relationships/table" Target="../tables/table110.xml"/><Relationship Id="rId5" Type="http://schemas.openxmlformats.org/officeDocument/2006/relationships/table" Target="../tables/table109.xml"/><Relationship Id="rId4" Type="http://schemas.openxmlformats.org/officeDocument/2006/relationships/table" Target="../tables/table108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3.xml"/><Relationship Id="rId2" Type="http://schemas.openxmlformats.org/officeDocument/2006/relationships/table" Target="../tables/table112.xml"/><Relationship Id="rId1" Type="http://schemas.openxmlformats.org/officeDocument/2006/relationships/table" Target="../tables/table111.xml"/><Relationship Id="rId6" Type="http://schemas.openxmlformats.org/officeDocument/2006/relationships/table" Target="../tables/table116.xml"/><Relationship Id="rId5" Type="http://schemas.openxmlformats.org/officeDocument/2006/relationships/table" Target="../tables/table115.xml"/><Relationship Id="rId4" Type="http://schemas.openxmlformats.org/officeDocument/2006/relationships/table" Target="../tables/table114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9.xml"/><Relationship Id="rId2" Type="http://schemas.openxmlformats.org/officeDocument/2006/relationships/table" Target="../tables/table118.xml"/><Relationship Id="rId1" Type="http://schemas.openxmlformats.org/officeDocument/2006/relationships/table" Target="../tables/table117.xml"/><Relationship Id="rId6" Type="http://schemas.openxmlformats.org/officeDocument/2006/relationships/table" Target="../tables/table122.xml"/><Relationship Id="rId5" Type="http://schemas.openxmlformats.org/officeDocument/2006/relationships/table" Target="../tables/table121.xml"/><Relationship Id="rId4" Type="http://schemas.openxmlformats.org/officeDocument/2006/relationships/table" Target="../tables/table120.x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5.xml"/><Relationship Id="rId2" Type="http://schemas.openxmlformats.org/officeDocument/2006/relationships/table" Target="../tables/table124.xml"/><Relationship Id="rId1" Type="http://schemas.openxmlformats.org/officeDocument/2006/relationships/table" Target="../tables/table123.xml"/><Relationship Id="rId6" Type="http://schemas.openxmlformats.org/officeDocument/2006/relationships/table" Target="../tables/table128.xml"/><Relationship Id="rId5" Type="http://schemas.openxmlformats.org/officeDocument/2006/relationships/table" Target="../tables/table127.xml"/><Relationship Id="rId4" Type="http://schemas.openxmlformats.org/officeDocument/2006/relationships/table" Target="../tables/table126.xm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31.xml"/><Relationship Id="rId2" Type="http://schemas.openxmlformats.org/officeDocument/2006/relationships/table" Target="../tables/table130.xml"/><Relationship Id="rId1" Type="http://schemas.openxmlformats.org/officeDocument/2006/relationships/table" Target="../tables/table129.xml"/><Relationship Id="rId6" Type="http://schemas.openxmlformats.org/officeDocument/2006/relationships/table" Target="../tables/table134.xml"/><Relationship Id="rId5" Type="http://schemas.openxmlformats.org/officeDocument/2006/relationships/table" Target="../tables/table133.xml"/><Relationship Id="rId4" Type="http://schemas.openxmlformats.org/officeDocument/2006/relationships/table" Target="../tables/table132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5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table" Target="../tables/table6.xml"/><Relationship Id="rId1" Type="http://schemas.openxmlformats.org/officeDocument/2006/relationships/table" Target="../tables/table5.xml"/><Relationship Id="rId5" Type="http://schemas.openxmlformats.org/officeDocument/2006/relationships/table" Target="../tables/table9.xml"/><Relationship Id="rId4" Type="http://schemas.openxmlformats.org/officeDocument/2006/relationships/table" Target="../tables/table8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table" Target="../tables/table11.xml"/><Relationship Id="rId1" Type="http://schemas.openxmlformats.org/officeDocument/2006/relationships/table" Target="../tables/table10.xml"/><Relationship Id="rId5" Type="http://schemas.openxmlformats.org/officeDocument/2006/relationships/table" Target="../tables/table14.xml"/><Relationship Id="rId4" Type="http://schemas.openxmlformats.org/officeDocument/2006/relationships/table" Target="../tables/table1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7.xml"/><Relationship Id="rId2" Type="http://schemas.openxmlformats.org/officeDocument/2006/relationships/table" Target="../tables/table16.xml"/><Relationship Id="rId1" Type="http://schemas.openxmlformats.org/officeDocument/2006/relationships/table" Target="../tables/table15.xml"/><Relationship Id="rId6" Type="http://schemas.openxmlformats.org/officeDocument/2006/relationships/table" Target="../tables/table20.xml"/><Relationship Id="rId5" Type="http://schemas.openxmlformats.org/officeDocument/2006/relationships/table" Target="../tables/table19.xml"/><Relationship Id="rId4" Type="http://schemas.openxmlformats.org/officeDocument/2006/relationships/table" Target="../tables/table18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3.xml"/><Relationship Id="rId2" Type="http://schemas.openxmlformats.org/officeDocument/2006/relationships/table" Target="../tables/table22.xml"/><Relationship Id="rId1" Type="http://schemas.openxmlformats.org/officeDocument/2006/relationships/table" Target="../tables/table21.xml"/><Relationship Id="rId6" Type="http://schemas.openxmlformats.org/officeDocument/2006/relationships/table" Target="../tables/table26.xml"/><Relationship Id="rId5" Type="http://schemas.openxmlformats.org/officeDocument/2006/relationships/table" Target="../tables/table25.xml"/><Relationship Id="rId4" Type="http://schemas.openxmlformats.org/officeDocument/2006/relationships/table" Target="../tables/table24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9.xml"/><Relationship Id="rId2" Type="http://schemas.openxmlformats.org/officeDocument/2006/relationships/table" Target="../tables/table28.xml"/><Relationship Id="rId1" Type="http://schemas.openxmlformats.org/officeDocument/2006/relationships/table" Target="../tables/table27.xml"/><Relationship Id="rId6" Type="http://schemas.openxmlformats.org/officeDocument/2006/relationships/table" Target="../tables/table32.xml"/><Relationship Id="rId5" Type="http://schemas.openxmlformats.org/officeDocument/2006/relationships/table" Target="../tables/table31.xml"/><Relationship Id="rId4" Type="http://schemas.openxmlformats.org/officeDocument/2006/relationships/table" Target="../tables/table30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5.xml"/><Relationship Id="rId2" Type="http://schemas.openxmlformats.org/officeDocument/2006/relationships/table" Target="../tables/table34.xml"/><Relationship Id="rId1" Type="http://schemas.openxmlformats.org/officeDocument/2006/relationships/table" Target="../tables/table33.xml"/><Relationship Id="rId6" Type="http://schemas.openxmlformats.org/officeDocument/2006/relationships/table" Target="../tables/table38.xml"/><Relationship Id="rId5" Type="http://schemas.openxmlformats.org/officeDocument/2006/relationships/table" Target="../tables/table37.xml"/><Relationship Id="rId4" Type="http://schemas.openxmlformats.org/officeDocument/2006/relationships/table" Target="../tables/table36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1.xml"/><Relationship Id="rId2" Type="http://schemas.openxmlformats.org/officeDocument/2006/relationships/table" Target="../tables/table40.xml"/><Relationship Id="rId1" Type="http://schemas.openxmlformats.org/officeDocument/2006/relationships/table" Target="../tables/table39.xml"/><Relationship Id="rId6" Type="http://schemas.openxmlformats.org/officeDocument/2006/relationships/table" Target="../tables/table44.xml"/><Relationship Id="rId5" Type="http://schemas.openxmlformats.org/officeDocument/2006/relationships/table" Target="../tables/table43.xml"/><Relationship Id="rId4" Type="http://schemas.openxmlformats.org/officeDocument/2006/relationships/table" Target="../tables/table4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AE74A0-A4AF-4238-B3CE-210004560FAA}">
  <dimension ref="A1:AE231"/>
  <sheetViews>
    <sheetView topLeftCell="A53" workbookViewId="0">
      <selection activeCell="A77" sqref="A57:A77"/>
    </sheetView>
  </sheetViews>
  <sheetFormatPr defaultRowHeight="14.4" x14ac:dyDescent="0.3"/>
  <cols>
    <col min="8" max="8" width="11.77734375" customWidth="1"/>
    <col min="9" max="9" width="9.5546875" customWidth="1"/>
    <col min="10" max="10" width="10.44140625" customWidth="1"/>
    <col min="11" max="11" width="12.6640625" customWidth="1"/>
    <col min="12" max="12" width="15.88671875" customWidth="1"/>
    <col min="14" max="14" width="15.5546875" customWidth="1"/>
    <col min="15" max="15" width="20.33203125" customWidth="1"/>
    <col min="16" max="16" width="12" customWidth="1"/>
    <col min="17" max="17" width="12.5546875" customWidth="1"/>
    <col min="26" max="26" width="10.88671875" customWidth="1"/>
    <col min="27" max="27" width="10.5546875" customWidth="1"/>
  </cols>
  <sheetData>
    <row r="1" spans="1:31" x14ac:dyDescent="0.3">
      <c r="A1" t="s">
        <v>0</v>
      </c>
      <c r="B1" t="s">
        <v>363</v>
      </c>
      <c r="C1" t="s">
        <v>364</v>
      </c>
      <c r="D1" t="s">
        <v>1</v>
      </c>
      <c r="E1" t="s">
        <v>2</v>
      </c>
      <c r="F1" t="s">
        <v>3</v>
      </c>
      <c r="G1" t="s">
        <v>370</v>
      </c>
      <c r="H1" t="s">
        <v>4</v>
      </c>
      <c r="I1" t="s">
        <v>5</v>
      </c>
      <c r="J1" t="s">
        <v>6</v>
      </c>
      <c r="K1" t="s">
        <v>7</v>
      </c>
      <c r="L1" t="s">
        <v>8</v>
      </c>
      <c r="M1" t="s">
        <v>9</v>
      </c>
      <c r="N1" t="s">
        <v>10</v>
      </c>
      <c r="O1" t="s">
        <v>11</v>
      </c>
      <c r="P1" t="s">
        <v>12</v>
      </c>
      <c r="Q1" t="s">
        <v>13</v>
      </c>
      <c r="R1" t="s">
        <v>14</v>
      </c>
      <c r="S1" t="s">
        <v>15</v>
      </c>
      <c r="T1" t="s">
        <v>16</v>
      </c>
      <c r="U1" t="s">
        <v>17</v>
      </c>
      <c r="V1" t="s">
        <v>18</v>
      </c>
      <c r="W1" t="s">
        <v>19</v>
      </c>
      <c r="AB1" t="s">
        <v>3</v>
      </c>
      <c r="AC1" t="s">
        <v>354</v>
      </c>
      <c r="AD1" t="s">
        <v>361</v>
      </c>
      <c r="AE1" t="s">
        <v>362</v>
      </c>
    </row>
    <row r="2" spans="1:31" x14ac:dyDescent="0.3">
      <c r="A2">
        <v>119083</v>
      </c>
      <c r="B2" t="str">
        <f>CONCATENATE(Table1[[#This Row],[Fname]]," ",Table1[[#This Row],[Lname]])</f>
        <v>Eleeza Bacon</v>
      </c>
      <c r="C2" t="str">
        <f>CONCATENATE(Table1[[#This Row],[Sex]],"-",Table1[[#This Row],[Column3]])</f>
        <v>F-u10</v>
      </c>
      <c r="D2" t="s">
        <v>254</v>
      </c>
      <c r="E2" t="s">
        <v>255</v>
      </c>
      <c r="F2">
        <v>2017</v>
      </c>
      <c r="G2" t="str">
        <f>_xlfn.XLOOKUP(Table1[[#This Row],[YOB]],Table2[YOB],Table2[Category])</f>
        <v>u10</v>
      </c>
      <c r="H2" t="s">
        <v>36</v>
      </c>
      <c r="I2" t="s">
        <v>256</v>
      </c>
      <c r="J2" t="s">
        <v>257</v>
      </c>
      <c r="K2" t="s">
        <v>25</v>
      </c>
      <c r="L2" t="s">
        <v>26</v>
      </c>
      <c r="M2" t="s">
        <v>27</v>
      </c>
      <c r="N2" t="s">
        <v>25</v>
      </c>
      <c r="O2" t="s">
        <v>28</v>
      </c>
      <c r="P2" t="s">
        <v>29</v>
      </c>
      <c r="Q2">
        <v>0</v>
      </c>
      <c r="R2" t="s">
        <v>30</v>
      </c>
      <c r="S2">
        <v>999</v>
      </c>
      <c r="T2">
        <v>999</v>
      </c>
      <c r="U2">
        <v>999</v>
      </c>
      <c r="V2">
        <v>999</v>
      </c>
      <c r="W2">
        <v>999</v>
      </c>
      <c r="AB2">
        <v>2007</v>
      </c>
      <c r="AC2" t="s">
        <v>355</v>
      </c>
      <c r="AD2">
        <v>2025</v>
      </c>
      <c r="AE2">
        <f>AD2-AB2</f>
        <v>18</v>
      </c>
    </row>
    <row r="3" spans="1:31" x14ac:dyDescent="0.3">
      <c r="A3">
        <v>127408</v>
      </c>
      <c r="B3" t="str">
        <f>CONCATENATE(Table1[[#This Row],[Fname]]," ",Table1[[#This Row],[Lname]])</f>
        <v>Hannah Cain</v>
      </c>
      <c r="C3" t="str">
        <f>CONCATENATE(Table1[[#This Row],[Sex]],"-",Table1[[#This Row],[Column3]])</f>
        <v>F-u10</v>
      </c>
      <c r="D3" t="s">
        <v>270</v>
      </c>
      <c r="E3" t="s">
        <v>271</v>
      </c>
      <c r="F3">
        <v>2016</v>
      </c>
      <c r="G3" t="str">
        <f>_xlfn.XLOOKUP(Table1[[#This Row],[YOB]],Table2[YOB],Table2[Category])</f>
        <v>u10</v>
      </c>
      <c r="H3" t="s">
        <v>36</v>
      </c>
      <c r="I3" t="s">
        <v>256</v>
      </c>
      <c r="J3" t="s">
        <v>257</v>
      </c>
      <c r="K3" t="s">
        <v>25</v>
      </c>
      <c r="L3" t="s">
        <v>26</v>
      </c>
      <c r="M3" t="s">
        <v>27</v>
      </c>
      <c r="N3" t="s">
        <v>25</v>
      </c>
      <c r="O3" t="s">
        <v>28</v>
      </c>
      <c r="P3" t="s">
        <v>29</v>
      </c>
      <c r="Q3">
        <v>0</v>
      </c>
      <c r="R3" t="s">
        <v>30</v>
      </c>
      <c r="S3">
        <v>999</v>
      </c>
      <c r="T3">
        <v>999</v>
      </c>
      <c r="U3">
        <v>999</v>
      </c>
      <c r="V3">
        <v>999</v>
      </c>
      <c r="W3">
        <v>999</v>
      </c>
      <c r="AB3">
        <v>2008</v>
      </c>
      <c r="AC3" t="s">
        <v>355</v>
      </c>
      <c r="AD3">
        <v>2025</v>
      </c>
      <c r="AE3">
        <f t="shared" ref="AE3:AE14" si="0">AD3-AB3</f>
        <v>17</v>
      </c>
    </row>
    <row r="4" spans="1:31" x14ac:dyDescent="0.3">
      <c r="A4">
        <v>127437</v>
      </c>
      <c r="B4" t="str">
        <f>CONCATENATE(Table1[[#This Row],[Fname]]," ",Table1[[#This Row],[Lname]])</f>
        <v>Kelly Pare</v>
      </c>
      <c r="C4" t="str">
        <f>CONCATENATE(Table1[[#This Row],[Sex]],"-",Table1[[#This Row],[Column3]])</f>
        <v>F-u10</v>
      </c>
      <c r="D4" t="s">
        <v>321</v>
      </c>
      <c r="E4" t="s">
        <v>322</v>
      </c>
      <c r="F4">
        <v>2016</v>
      </c>
      <c r="G4" t="str">
        <f>_xlfn.XLOOKUP(Table1[[#This Row],[YOB]],Table2[YOB],Table2[Category])</f>
        <v>u10</v>
      </c>
      <c r="H4" t="s">
        <v>36</v>
      </c>
      <c r="I4" t="s">
        <v>256</v>
      </c>
      <c r="J4" t="s">
        <v>257</v>
      </c>
      <c r="K4" t="s">
        <v>25</v>
      </c>
      <c r="L4" t="s">
        <v>26</v>
      </c>
      <c r="M4" t="s">
        <v>27</v>
      </c>
      <c r="N4" t="s">
        <v>25</v>
      </c>
      <c r="O4" t="s">
        <v>28</v>
      </c>
      <c r="P4" t="s">
        <v>29</v>
      </c>
      <c r="Q4">
        <v>0</v>
      </c>
      <c r="R4" t="s">
        <v>30</v>
      </c>
      <c r="S4">
        <v>999</v>
      </c>
      <c r="T4">
        <v>999</v>
      </c>
      <c r="U4">
        <v>999</v>
      </c>
      <c r="V4">
        <v>999</v>
      </c>
      <c r="W4">
        <v>999</v>
      </c>
      <c r="AB4">
        <v>2009</v>
      </c>
      <c r="AC4" t="s">
        <v>355</v>
      </c>
      <c r="AD4">
        <v>2025</v>
      </c>
      <c r="AE4">
        <f t="shared" si="0"/>
        <v>16</v>
      </c>
    </row>
    <row r="5" spans="1:31" x14ac:dyDescent="0.3">
      <c r="A5">
        <v>119082</v>
      </c>
      <c r="B5" t="str">
        <f>CONCATENATE(Table1[[#This Row],[Fname]]," ",Table1[[#This Row],[Lname]])</f>
        <v>Nia Pembridge</v>
      </c>
      <c r="C5" t="str">
        <f>CONCATENATE(Table1[[#This Row],[Sex]],"-",Table1[[#This Row],[Column3]])</f>
        <v>F-u10</v>
      </c>
      <c r="D5" t="s">
        <v>327</v>
      </c>
      <c r="E5" t="s">
        <v>326</v>
      </c>
      <c r="F5">
        <v>2016</v>
      </c>
      <c r="G5" t="str">
        <f>_xlfn.XLOOKUP(Table1[[#This Row],[YOB]],Table2[YOB],Table2[Category])</f>
        <v>u10</v>
      </c>
      <c r="H5" t="s">
        <v>36</v>
      </c>
      <c r="I5" t="s">
        <v>256</v>
      </c>
      <c r="J5" t="s">
        <v>257</v>
      </c>
      <c r="K5" t="s">
        <v>25</v>
      </c>
      <c r="L5" t="s">
        <v>26</v>
      </c>
      <c r="M5" t="s">
        <v>27</v>
      </c>
      <c r="N5" t="s">
        <v>25</v>
      </c>
      <c r="O5" t="s">
        <v>28</v>
      </c>
      <c r="P5" t="s">
        <v>29</v>
      </c>
      <c r="Q5">
        <v>0</v>
      </c>
      <c r="R5" t="s">
        <v>30</v>
      </c>
      <c r="S5">
        <v>999</v>
      </c>
      <c r="T5">
        <v>999</v>
      </c>
      <c r="U5">
        <v>999</v>
      </c>
      <c r="V5">
        <v>999</v>
      </c>
      <c r="W5">
        <v>999</v>
      </c>
      <c r="AB5">
        <v>2010</v>
      </c>
      <c r="AC5" t="s">
        <v>356</v>
      </c>
      <c r="AD5">
        <v>2025</v>
      </c>
      <c r="AE5">
        <f t="shared" si="0"/>
        <v>15</v>
      </c>
    </row>
    <row r="6" spans="1:31" x14ac:dyDescent="0.3">
      <c r="A6">
        <v>122531</v>
      </c>
      <c r="B6" t="str">
        <f>CONCATENATE(Table1[[#This Row],[Fname]]," ",Table1[[#This Row],[Lname]])</f>
        <v>Avery Stuart</v>
      </c>
      <c r="C6" t="str">
        <f>CONCATENATE(Table1[[#This Row],[Sex]],"-",Table1[[#This Row],[Column3]])</f>
        <v>F-u10</v>
      </c>
      <c r="D6" t="s">
        <v>344</v>
      </c>
      <c r="E6" t="s">
        <v>345</v>
      </c>
      <c r="F6">
        <v>2017</v>
      </c>
      <c r="G6" t="str">
        <f>_xlfn.XLOOKUP(Table1[[#This Row],[YOB]],Table2[YOB],Table2[Category])</f>
        <v>u10</v>
      </c>
      <c r="H6" t="s">
        <v>36</v>
      </c>
      <c r="I6" t="s">
        <v>256</v>
      </c>
      <c r="J6" t="s">
        <v>257</v>
      </c>
      <c r="K6" t="s">
        <v>25</v>
      </c>
      <c r="L6" t="s">
        <v>26</v>
      </c>
      <c r="M6" t="s">
        <v>27</v>
      </c>
      <c r="N6" t="s">
        <v>25</v>
      </c>
      <c r="O6" t="s">
        <v>28</v>
      </c>
      <c r="P6" t="s">
        <v>29</v>
      </c>
      <c r="Q6">
        <v>0</v>
      </c>
      <c r="R6" t="s">
        <v>30</v>
      </c>
      <c r="S6">
        <v>999</v>
      </c>
      <c r="T6">
        <v>999</v>
      </c>
      <c r="U6">
        <v>999</v>
      </c>
      <c r="V6">
        <v>999</v>
      </c>
      <c r="W6">
        <v>999</v>
      </c>
      <c r="AB6">
        <v>2011</v>
      </c>
      <c r="AC6" t="s">
        <v>356</v>
      </c>
      <c r="AD6">
        <v>2025</v>
      </c>
      <c r="AE6">
        <f t="shared" si="0"/>
        <v>14</v>
      </c>
    </row>
    <row r="7" spans="1:31" x14ac:dyDescent="0.3">
      <c r="A7">
        <v>119085</v>
      </c>
      <c r="B7" t="str">
        <f>CONCATENATE(Table1[[#This Row],[Fname]]," ",Table1[[#This Row],[Lname]])</f>
        <v>Mia Wheaton</v>
      </c>
      <c r="C7" t="str">
        <f>CONCATENATE(Table1[[#This Row],[Sex]],"-",Table1[[#This Row],[Column3]])</f>
        <v>F-u10</v>
      </c>
      <c r="D7" t="s">
        <v>351</v>
      </c>
      <c r="E7" t="s">
        <v>350</v>
      </c>
      <c r="F7">
        <v>2016</v>
      </c>
      <c r="G7" t="str">
        <f>_xlfn.XLOOKUP(Table1[[#This Row],[YOB]],Table2[YOB],Table2[Category])</f>
        <v>u10</v>
      </c>
      <c r="H7" t="s">
        <v>36</v>
      </c>
      <c r="I7" t="s">
        <v>256</v>
      </c>
      <c r="J7" t="s">
        <v>257</v>
      </c>
      <c r="K7" t="s">
        <v>25</v>
      </c>
      <c r="L7" t="s">
        <v>26</v>
      </c>
      <c r="M7" t="s">
        <v>27</v>
      </c>
      <c r="N7" t="s">
        <v>25</v>
      </c>
      <c r="O7" t="s">
        <v>28</v>
      </c>
      <c r="P7" t="s">
        <v>29</v>
      </c>
      <c r="Q7">
        <v>0</v>
      </c>
      <c r="R7" t="s">
        <v>30</v>
      </c>
      <c r="S7">
        <v>999</v>
      </c>
      <c r="T7">
        <v>999</v>
      </c>
      <c r="U7">
        <v>999</v>
      </c>
      <c r="V7">
        <v>999</v>
      </c>
      <c r="W7">
        <v>999</v>
      </c>
      <c r="AB7">
        <v>2012</v>
      </c>
      <c r="AC7" t="s">
        <v>357</v>
      </c>
      <c r="AD7">
        <v>2025</v>
      </c>
      <c r="AE7">
        <f t="shared" si="0"/>
        <v>13</v>
      </c>
    </row>
    <row r="8" spans="1:31" x14ac:dyDescent="0.3">
      <c r="A8">
        <v>128695</v>
      </c>
      <c r="B8" t="str">
        <f>CONCATENATE(Table1[[#This Row],[Fname]]," ",Table1[[#This Row],[Lname]])</f>
        <v>Erin Willis</v>
      </c>
      <c r="C8" t="str">
        <f>CONCATENATE(Table1[[#This Row],[Sex]],"-",Table1[[#This Row],[Column3]])</f>
        <v>F-u10</v>
      </c>
      <c r="D8" t="s">
        <v>914</v>
      </c>
      <c r="E8" t="s">
        <v>915</v>
      </c>
      <c r="F8">
        <v>2017</v>
      </c>
      <c r="G8" t="str">
        <f>_xlfn.XLOOKUP(Table1[[#This Row],[YOB]],Table2[YOB],Table2[Category])</f>
        <v>u10</v>
      </c>
      <c r="H8" t="s">
        <v>36</v>
      </c>
      <c r="I8" t="s">
        <v>256</v>
      </c>
      <c r="J8" t="s">
        <v>257</v>
      </c>
      <c r="K8" t="s">
        <v>25</v>
      </c>
      <c r="L8" t="s">
        <v>26</v>
      </c>
      <c r="M8" t="s">
        <v>27</v>
      </c>
      <c r="N8" t="s">
        <v>25</v>
      </c>
      <c r="O8" t="s">
        <v>28</v>
      </c>
      <c r="P8" t="s">
        <v>29</v>
      </c>
      <c r="Q8">
        <v>0</v>
      </c>
      <c r="R8" t="s">
        <v>30</v>
      </c>
      <c r="S8">
        <v>999</v>
      </c>
      <c r="T8">
        <v>999</v>
      </c>
      <c r="U8">
        <v>999</v>
      </c>
      <c r="V8">
        <v>999</v>
      </c>
      <c r="W8">
        <v>999</v>
      </c>
      <c r="AB8">
        <v>2013</v>
      </c>
      <c r="AC8" t="s">
        <v>357</v>
      </c>
      <c r="AD8">
        <v>2025</v>
      </c>
      <c r="AE8">
        <f t="shared" si="0"/>
        <v>12</v>
      </c>
    </row>
    <row r="9" spans="1:31" x14ac:dyDescent="0.3">
      <c r="A9">
        <v>119864</v>
      </c>
      <c r="B9" t="str">
        <f>CONCATENATE(Table1[[#This Row],[Fname]]," ",Table1[[#This Row],[Lname]])</f>
        <v>Clara Banks</v>
      </c>
      <c r="C9" t="str">
        <f>CONCATENATE(Table1[[#This Row],[Sex]],"-",Table1[[#This Row],[Column3]])</f>
        <v>F-u10</v>
      </c>
      <c r="D9" t="s">
        <v>40</v>
      </c>
      <c r="E9" t="s">
        <v>41</v>
      </c>
      <c r="F9">
        <v>2016</v>
      </c>
      <c r="G9" t="str">
        <f>_xlfn.XLOOKUP(Table1[[#This Row],[YOB]],Table2[YOB],Table2[Category])</f>
        <v>u10</v>
      </c>
      <c r="H9" t="s">
        <v>36</v>
      </c>
      <c r="I9" t="s">
        <v>23</v>
      </c>
      <c r="J9" t="s">
        <v>24</v>
      </c>
      <c r="K9" t="s">
        <v>25</v>
      </c>
      <c r="L9" t="s">
        <v>26</v>
      </c>
      <c r="M9" t="s">
        <v>27</v>
      </c>
      <c r="N9" t="s">
        <v>25</v>
      </c>
      <c r="O9" t="s">
        <v>28</v>
      </c>
      <c r="P9" t="s">
        <v>29</v>
      </c>
      <c r="Q9">
        <v>0</v>
      </c>
      <c r="R9" t="s">
        <v>30</v>
      </c>
      <c r="S9">
        <v>999</v>
      </c>
      <c r="T9">
        <v>999</v>
      </c>
      <c r="U9">
        <v>999</v>
      </c>
      <c r="V9">
        <v>999</v>
      </c>
      <c r="W9">
        <v>999</v>
      </c>
      <c r="AB9">
        <v>2014</v>
      </c>
      <c r="AC9" t="s">
        <v>358</v>
      </c>
      <c r="AD9">
        <v>2025</v>
      </c>
      <c r="AE9">
        <f t="shared" si="0"/>
        <v>11</v>
      </c>
    </row>
    <row r="10" spans="1:31" x14ac:dyDescent="0.3">
      <c r="A10">
        <v>119852</v>
      </c>
      <c r="B10" t="str">
        <f>CONCATENATE(Table1[[#This Row],[Fname]]," ",Table1[[#This Row],[Lname]])</f>
        <v>Isabel Betts</v>
      </c>
      <c r="C10" t="str">
        <f>CONCATENATE(Table1[[#This Row],[Sex]],"-",Table1[[#This Row],[Column3]])</f>
        <v>F-u10</v>
      </c>
      <c r="D10" t="s">
        <v>52</v>
      </c>
      <c r="E10" t="s">
        <v>53</v>
      </c>
      <c r="F10">
        <v>2017</v>
      </c>
      <c r="G10" t="str">
        <f>_xlfn.XLOOKUP(Table1[[#This Row],[YOB]],Table2[YOB],Table2[Category])</f>
        <v>u10</v>
      </c>
      <c r="H10" t="s">
        <v>36</v>
      </c>
      <c r="I10" t="s">
        <v>23</v>
      </c>
      <c r="J10" t="s">
        <v>24</v>
      </c>
      <c r="K10" t="s">
        <v>25</v>
      </c>
      <c r="L10" t="s">
        <v>26</v>
      </c>
      <c r="M10" t="s">
        <v>27</v>
      </c>
      <c r="N10" t="s">
        <v>25</v>
      </c>
      <c r="O10" t="s">
        <v>28</v>
      </c>
      <c r="P10" t="s">
        <v>29</v>
      </c>
      <c r="Q10">
        <v>0</v>
      </c>
      <c r="R10" t="s">
        <v>30</v>
      </c>
      <c r="S10">
        <v>999</v>
      </c>
      <c r="T10">
        <v>999</v>
      </c>
      <c r="U10">
        <v>999</v>
      </c>
      <c r="V10">
        <v>999</v>
      </c>
      <c r="W10">
        <v>999</v>
      </c>
      <c r="AB10">
        <v>2015</v>
      </c>
      <c r="AC10" t="s">
        <v>358</v>
      </c>
      <c r="AD10">
        <v>2025</v>
      </c>
      <c r="AE10">
        <f t="shared" si="0"/>
        <v>10</v>
      </c>
    </row>
    <row r="11" spans="1:31" x14ac:dyDescent="0.3">
      <c r="A11">
        <v>123283</v>
      </c>
      <c r="B11" t="str">
        <f>CONCATENATE(Table1[[#This Row],[Fname]]," ",Table1[[#This Row],[Lname]])</f>
        <v>Maya Carson</v>
      </c>
      <c r="C11" t="str">
        <f>CONCATENATE(Table1[[#This Row],[Sex]],"-",Table1[[#This Row],[Column3]])</f>
        <v>F-u10</v>
      </c>
      <c r="D11" t="s">
        <v>61</v>
      </c>
      <c r="E11" t="s">
        <v>62</v>
      </c>
      <c r="F11">
        <v>2017</v>
      </c>
      <c r="G11" t="str">
        <f>_xlfn.XLOOKUP(Table1[[#This Row],[YOB]],Table2[YOB],Table2[Category])</f>
        <v>u10</v>
      </c>
      <c r="H11" t="s">
        <v>36</v>
      </c>
      <c r="I11" t="s">
        <v>23</v>
      </c>
      <c r="J11" t="s">
        <v>24</v>
      </c>
      <c r="K11" t="s">
        <v>25</v>
      </c>
      <c r="L11" t="s">
        <v>26</v>
      </c>
      <c r="M11" t="s">
        <v>27</v>
      </c>
      <c r="N11" t="s">
        <v>25</v>
      </c>
      <c r="O11" t="s">
        <v>28</v>
      </c>
      <c r="P11" t="s">
        <v>29</v>
      </c>
      <c r="Q11">
        <v>0</v>
      </c>
      <c r="R11" t="s">
        <v>30</v>
      </c>
      <c r="S11">
        <v>999</v>
      </c>
      <c r="T11">
        <v>999</v>
      </c>
      <c r="U11">
        <v>999</v>
      </c>
      <c r="V11">
        <v>999</v>
      </c>
      <c r="W11">
        <v>999</v>
      </c>
      <c r="AB11">
        <v>2016</v>
      </c>
      <c r="AC11" t="s">
        <v>359</v>
      </c>
      <c r="AD11">
        <v>2025</v>
      </c>
      <c r="AE11">
        <f t="shared" si="0"/>
        <v>9</v>
      </c>
    </row>
    <row r="12" spans="1:31" x14ac:dyDescent="0.3">
      <c r="A12">
        <v>119889</v>
      </c>
      <c r="B12" t="str">
        <f>CONCATENATE(Table1[[#This Row],[Fname]]," ",Table1[[#This Row],[Lname]])</f>
        <v>Kingsley Devine</v>
      </c>
      <c r="C12" t="str">
        <f>CONCATENATE(Table1[[#This Row],[Sex]],"-",Table1[[#This Row],[Column3]])</f>
        <v>F-u10</v>
      </c>
      <c r="D12" t="s">
        <v>73</v>
      </c>
      <c r="E12" t="s">
        <v>74</v>
      </c>
      <c r="F12">
        <v>2016</v>
      </c>
      <c r="G12" t="str">
        <f>_xlfn.XLOOKUP(Table1[[#This Row],[YOB]],Table2[YOB],Table2[Category])</f>
        <v>u10</v>
      </c>
      <c r="H12" t="s">
        <v>36</v>
      </c>
      <c r="I12" t="s">
        <v>23</v>
      </c>
      <c r="J12" t="s">
        <v>24</v>
      </c>
      <c r="K12" t="s">
        <v>25</v>
      </c>
      <c r="L12" t="s">
        <v>26</v>
      </c>
      <c r="M12" t="s">
        <v>27</v>
      </c>
      <c r="N12" t="s">
        <v>25</v>
      </c>
      <c r="O12" t="s">
        <v>28</v>
      </c>
      <c r="P12" t="s">
        <v>29</v>
      </c>
      <c r="Q12">
        <v>0</v>
      </c>
      <c r="R12" t="s">
        <v>30</v>
      </c>
      <c r="S12">
        <v>999</v>
      </c>
      <c r="T12">
        <v>999</v>
      </c>
      <c r="U12">
        <v>999</v>
      </c>
      <c r="V12">
        <v>999</v>
      </c>
      <c r="W12">
        <v>999</v>
      </c>
      <c r="AB12">
        <v>2017</v>
      </c>
      <c r="AC12" t="s">
        <v>359</v>
      </c>
      <c r="AD12">
        <v>2025</v>
      </c>
      <c r="AE12">
        <f t="shared" si="0"/>
        <v>8</v>
      </c>
    </row>
    <row r="13" spans="1:31" x14ac:dyDescent="0.3">
      <c r="A13">
        <v>126976</v>
      </c>
      <c r="B13" t="str">
        <f>CONCATENATE(Table1[[#This Row],[Fname]]," ",Table1[[#This Row],[Lname]])</f>
        <v>Lydia Foster</v>
      </c>
      <c r="C13" t="str">
        <f>CONCATENATE(Table1[[#This Row],[Sex]],"-",Table1[[#This Row],[Column3]])</f>
        <v>F-u10</v>
      </c>
      <c r="D13" t="s">
        <v>85</v>
      </c>
      <c r="E13" t="s">
        <v>86</v>
      </c>
      <c r="F13">
        <v>2017</v>
      </c>
      <c r="G13" t="str">
        <f>_xlfn.XLOOKUP(Table1[[#This Row],[YOB]],Table2[YOB],Table2[Category])</f>
        <v>u10</v>
      </c>
      <c r="H13" t="s">
        <v>36</v>
      </c>
      <c r="I13" t="s">
        <v>23</v>
      </c>
      <c r="J13" t="s">
        <v>24</v>
      </c>
      <c r="K13" t="s">
        <v>25</v>
      </c>
      <c r="L13" t="s">
        <v>26</v>
      </c>
      <c r="M13" t="s">
        <v>27</v>
      </c>
      <c r="N13" t="s">
        <v>25</v>
      </c>
      <c r="O13" t="s">
        <v>28</v>
      </c>
      <c r="P13" t="s">
        <v>29</v>
      </c>
      <c r="Q13">
        <v>0</v>
      </c>
      <c r="R13" t="s">
        <v>30</v>
      </c>
      <c r="S13">
        <v>999</v>
      </c>
      <c r="T13">
        <v>999</v>
      </c>
      <c r="U13">
        <v>999</v>
      </c>
      <c r="V13">
        <v>999</v>
      </c>
      <c r="W13">
        <v>999</v>
      </c>
      <c r="AB13">
        <v>2018</v>
      </c>
      <c r="AC13" t="s">
        <v>360</v>
      </c>
      <c r="AD13">
        <v>2025</v>
      </c>
      <c r="AE13">
        <f t="shared" si="0"/>
        <v>7</v>
      </c>
    </row>
    <row r="14" spans="1:31" x14ac:dyDescent="0.3">
      <c r="A14">
        <v>119849</v>
      </c>
      <c r="B14" t="str">
        <f>CONCATENATE(Table1[[#This Row],[Fname]]," ",Table1[[#This Row],[Lname]])</f>
        <v>Indie Freeman</v>
      </c>
      <c r="C14" t="str">
        <f>CONCATENATE(Table1[[#This Row],[Sex]],"-",Table1[[#This Row],[Column3]])</f>
        <v>F-u10</v>
      </c>
      <c r="D14" t="s">
        <v>89</v>
      </c>
      <c r="E14" t="s">
        <v>88</v>
      </c>
      <c r="F14">
        <v>2017</v>
      </c>
      <c r="G14" t="str">
        <f>_xlfn.XLOOKUP(Table1[[#This Row],[YOB]],Table2[YOB],Table2[Category])</f>
        <v>u10</v>
      </c>
      <c r="H14" t="s">
        <v>36</v>
      </c>
      <c r="I14" t="s">
        <v>23</v>
      </c>
      <c r="J14" t="s">
        <v>24</v>
      </c>
      <c r="K14" t="s">
        <v>25</v>
      </c>
      <c r="L14" t="s">
        <v>26</v>
      </c>
      <c r="M14" t="s">
        <v>27</v>
      </c>
      <c r="N14" t="s">
        <v>25</v>
      </c>
      <c r="O14" t="s">
        <v>28</v>
      </c>
      <c r="P14" t="s">
        <v>29</v>
      </c>
      <c r="Q14">
        <v>0</v>
      </c>
      <c r="R14" t="s">
        <v>30</v>
      </c>
      <c r="S14">
        <v>999</v>
      </c>
      <c r="T14">
        <v>999</v>
      </c>
      <c r="U14">
        <v>999</v>
      </c>
      <c r="V14">
        <v>999</v>
      </c>
      <c r="W14">
        <v>999</v>
      </c>
      <c r="AB14">
        <v>2019</v>
      </c>
      <c r="AC14" t="s">
        <v>360</v>
      </c>
      <c r="AD14">
        <v>2025</v>
      </c>
      <c r="AE14">
        <f t="shared" si="0"/>
        <v>6</v>
      </c>
    </row>
    <row r="15" spans="1:31" x14ac:dyDescent="0.3">
      <c r="A15">
        <v>119899</v>
      </c>
      <c r="B15" t="str">
        <f>CONCATENATE(Table1[[#This Row],[Fname]]," ",Table1[[#This Row],[Lname]])</f>
        <v>Annie Gamble</v>
      </c>
      <c r="C15" t="str">
        <f>CONCATENATE(Table1[[#This Row],[Sex]],"-",Table1[[#This Row],[Column3]])</f>
        <v>F-u10</v>
      </c>
      <c r="D15" t="s">
        <v>92</v>
      </c>
      <c r="E15" t="s">
        <v>93</v>
      </c>
      <c r="F15">
        <v>2016</v>
      </c>
      <c r="G15" t="str">
        <f>_xlfn.XLOOKUP(Table1[[#This Row],[YOB]],Table2[YOB],Table2[Category])</f>
        <v>u10</v>
      </c>
      <c r="H15" t="s">
        <v>36</v>
      </c>
      <c r="I15" t="s">
        <v>23</v>
      </c>
      <c r="J15" t="s">
        <v>24</v>
      </c>
      <c r="K15" t="s">
        <v>25</v>
      </c>
      <c r="L15" t="s">
        <v>26</v>
      </c>
      <c r="M15" t="s">
        <v>27</v>
      </c>
      <c r="N15" t="s">
        <v>25</v>
      </c>
      <c r="O15" t="s">
        <v>28</v>
      </c>
      <c r="P15" t="s">
        <v>29</v>
      </c>
      <c r="Q15">
        <v>0</v>
      </c>
      <c r="R15" t="s">
        <v>30</v>
      </c>
      <c r="S15">
        <v>999</v>
      </c>
      <c r="T15">
        <v>999</v>
      </c>
      <c r="U15">
        <v>999</v>
      </c>
      <c r="V15">
        <v>999</v>
      </c>
      <c r="W15">
        <v>999</v>
      </c>
    </row>
    <row r="16" spans="1:31" x14ac:dyDescent="0.3">
      <c r="A16">
        <v>123272</v>
      </c>
      <c r="B16" t="str">
        <f>CONCATENATE(Table1[[#This Row],[Fname]]," ",Table1[[#This Row],[Lname]])</f>
        <v>Lilah Goss</v>
      </c>
      <c r="C16" t="str">
        <f>CONCATENATE(Table1[[#This Row],[Sex]],"-",Table1[[#This Row],[Column3]])</f>
        <v>F-u10</v>
      </c>
      <c r="D16" t="s">
        <v>100</v>
      </c>
      <c r="E16" t="s">
        <v>99</v>
      </c>
      <c r="F16">
        <v>2017</v>
      </c>
      <c r="G16" t="str">
        <f>_xlfn.XLOOKUP(Table1[[#This Row],[YOB]],Table2[YOB],Table2[Category])</f>
        <v>u10</v>
      </c>
      <c r="H16" t="s">
        <v>36</v>
      </c>
      <c r="I16" t="s">
        <v>23</v>
      </c>
      <c r="J16" t="s">
        <v>24</v>
      </c>
      <c r="K16" t="s">
        <v>25</v>
      </c>
      <c r="L16" t="s">
        <v>26</v>
      </c>
      <c r="M16" t="s">
        <v>27</v>
      </c>
      <c r="N16" t="s">
        <v>25</v>
      </c>
      <c r="O16" t="s">
        <v>28</v>
      </c>
      <c r="P16" t="s">
        <v>29</v>
      </c>
      <c r="Q16">
        <v>0</v>
      </c>
      <c r="R16" t="s">
        <v>30</v>
      </c>
      <c r="S16">
        <v>999</v>
      </c>
      <c r="T16">
        <v>999</v>
      </c>
      <c r="U16">
        <v>999</v>
      </c>
      <c r="V16">
        <v>999</v>
      </c>
      <c r="W16">
        <v>999</v>
      </c>
    </row>
    <row r="17" spans="1:23" x14ac:dyDescent="0.3">
      <c r="A17">
        <v>123285</v>
      </c>
      <c r="B17" t="str">
        <f>CONCATENATE(Table1[[#This Row],[Fname]]," ",Table1[[#This Row],[Lname]])</f>
        <v>Ava Hunter</v>
      </c>
      <c r="C17" t="str">
        <f>CONCATENATE(Table1[[#This Row],[Sex]],"-",Table1[[#This Row],[Column3]])</f>
        <v>F-u10</v>
      </c>
      <c r="D17" t="s">
        <v>105</v>
      </c>
      <c r="E17" t="s">
        <v>106</v>
      </c>
      <c r="F17">
        <v>2017</v>
      </c>
      <c r="G17" t="str">
        <f>_xlfn.XLOOKUP(Table1[[#This Row],[YOB]],Table2[YOB],Table2[Category])</f>
        <v>u10</v>
      </c>
      <c r="H17" t="s">
        <v>36</v>
      </c>
      <c r="I17" t="s">
        <v>23</v>
      </c>
      <c r="J17" t="s">
        <v>24</v>
      </c>
      <c r="K17" t="s">
        <v>25</v>
      </c>
      <c r="L17" t="s">
        <v>26</v>
      </c>
      <c r="M17" t="s">
        <v>27</v>
      </c>
      <c r="N17" t="s">
        <v>25</v>
      </c>
      <c r="O17" t="s">
        <v>28</v>
      </c>
      <c r="P17" t="s">
        <v>29</v>
      </c>
      <c r="Q17">
        <v>0</v>
      </c>
      <c r="R17" t="s">
        <v>30</v>
      </c>
      <c r="S17">
        <v>999</v>
      </c>
      <c r="T17">
        <v>999</v>
      </c>
      <c r="U17">
        <v>999</v>
      </c>
      <c r="V17">
        <v>999</v>
      </c>
      <c r="W17">
        <v>999</v>
      </c>
    </row>
    <row r="18" spans="1:23" x14ac:dyDescent="0.3">
      <c r="A18">
        <v>119877</v>
      </c>
      <c r="B18" t="str">
        <f>CONCATENATE(Table1[[#This Row],[Fname]]," ",Table1[[#This Row],[Lname]])</f>
        <v>Elle Hunter</v>
      </c>
      <c r="C18" t="str">
        <f>CONCATENATE(Table1[[#This Row],[Sex]],"-",Table1[[#This Row],[Column3]])</f>
        <v>F-u10</v>
      </c>
      <c r="D18" t="s">
        <v>107</v>
      </c>
      <c r="E18" t="s">
        <v>106</v>
      </c>
      <c r="F18">
        <v>2017</v>
      </c>
      <c r="G18" t="str">
        <f>_xlfn.XLOOKUP(Table1[[#This Row],[YOB]],Table2[YOB],Table2[Category])</f>
        <v>u10</v>
      </c>
      <c r="H18" t="s">
        <v>36</v>
      </c>
      <c r="I18" t="s">
        <v>23</v>
      </c>
      <c r="J18" t="s">
        <v>24</v>
      </c>
      <c r="K18" t="s">
        <v>25</v>
      </c>
      <c r="L18" t="s">
        <v>26</v>
      </c>
      <c r="M18" t="s">
        <v>27</v>
      </c>
      <c r="N18" t="s">
        <v>25</v>
      </c>
      <c r="O18" t="s">
        <v>28</v>
      </c>
      <c r="P18" t="s">
        <v>29</v>
      </c>
      <c r="Q18">
        <v>0</v>
      </c>
      <c r="R18" t="s">
        <v>30</v>
      </c>
      <c r="S18">
        <v>999</v>
      </c>
      <c r="T18">
        <v>999</v>
      </c>
      <c r="U18">
        <v>999</v>
      </c>
      <c r="V18">
        <v>999</v>
      </c>
      <c r="W18">
        <v>999</v>
      </c>
    </row>
    <row r="19" spans="1:23" x14ac:dyDescent="0.3">
      <c r="A19">
        <v>126985</v>
      </c>
      <c r="B19" t="str">
        <f>CONCATENATE(Table1[[#This Row],[Fname]]," ",Table1[[#This Row],[Lname]])</f>
        <v>Charlotte Janicki</v>
      </c>
      <c r="C19" t="str">
        <f>CONCATENATE(Table1[[#This Row],[Sex]],"-",Table1[[#This Row],[Column3]])</f>
        <v>F-u10</v>
      </c>
      <c r="D19" t="s">
        <v>45</v>
      </c>
      <c r="E19" t="s">
        <v>108</v>
      </c>
      <c r="F19">
        <v>2017</v>
      </c>
      <c r="G19" t="str">
        <f>_xlfn.XLOOKUP(Table1[[#This Row],[YOB]],Table2[YOB],Table2[Category])</f>
        <v>u10</v>
      </c>
      <c r="H19" t="s">
        <v>36</v>
      </c>
      <c r="I19" t="s">
        <v>23</v>
      </c>
      <c r="J19" t="s">
        <v>24</v>
      </c>
      <c r="K19" t="s">
        <v>25</v>
      </c>
      <c r="L19" t="s">
        <v>26</v>
      </c>
      <c r="M19" t="s">
        <v>27</v>
      </c>
      <c r="N19" t="s">
        <v>25</v>
      </c>
      <c r="O19" t="s">
        <v>28</v>
      </c>
      <c r="P19" t="s">
        <v>29</v>
      </c>
      <c r="Q19">
        <v>0</v>
      </c>
      <c r="R19" t="s">
        <v>30</v>
      </c>
      <c r="S19">
        <v>999</v>
      </c>
      <c r="T19">
        <v>999</v>
      </c>
      <c r="U19">
        <v>999</v>
      </c>
      <c r="V19">
        <v>999</v>
      </c>
      <c r="W19">
        <v>999</v>
      </c>
    </row>
    <row r="20" spans="1:23" x14ac:dyDescent="0.3">
      <c r="A20">
        <v>123280</v>
      </c>
      <c r="B20" t="str">
        <f>CONCATENATE(Table1[[#This Row],[Fname]]," ",Table1[[#This Row],[Lname]])</f>
        <v>Jade Laird</v>
      </c>
      <c r="C20" t="str">
        <f>CONCATENATE(Table1[[#This Row],[Sex]],"-",Table1[[#This Row],[Column3]])</f>
        <v>F-u10</v>
      </c>
      <c r="D20" t="s">
        <v>114</v>
      </c>
      <c r="E20" t="s">
        <v>113</v>
      </c>
      <c r="F20">
        <v>2017</v>
      </c>
      <c r="G20" t="str">
        <f>_xlfn.XLOOKUP(Table1[[#This Row],[YOB]],Table2[YOB],Table2[Category])</f>
        <v>u10</v>
      </c>
      <c r="H20" t="s">
        <v>36</v>
      </c>
      <c r="I20" t="s">
        <v>23</v>
      </c>
      <c r="J20" t="s">
        <v>24</v>
      </c>
      <c r="K20" t="s">
        <v>25</v>
      </c>
      <c r="L20" t="s">
        <v>26</v>
      </c>
      <c r="M20" t="s">
        <v>27</v>
      </c>
      <c r="N20" t="s">
        <v>25</v>
      </c>
      <c r="O20" t="s">
        <v>28</v>
      </c>
      <c r="P20" t="s">
        <v>29</v>
      </c>
      <c r="Q20">
        <v>0</v>
      </c>
      <c r="R20" t="s">
        <v>30</v>
      </c>
      <c r="S20">
        <v>999</v>
      </c>
      <c r="T20">
        <v>999</v>
      </c>
      <c r="U20">
        <v>999</v>
      </c>
      <c r="V20">
        <v>999</v>
      </c>
      <c r="W20">
        <v>999</v>
      </c>
    </row>
    <row r="21" spans="1:23" x14ac:dyDescent="0.3">
      <c r="A21">
        <v>123319</v>
      </c>
      <c r="B21" t="str">
        <f>CONCATENATE(Table1[[#This Row],[Fname]]," ",Table1[[#This Row],[Lname]])</f>
        <v>Stella Langille</v>
      </c>
      <c r="C21" t="str">
        <f>CONCATENATE(Table1[[#This Row],[Sex]],"-",Table1[[#This Row],[Column3]])</f>
        <v>F-u10</v>
      </c>
      <c r="D21" t="s">
        <v>117</v>
      </c>
      <c r="E21" t="s">
        <v>116</v>
      </c>
      <c r="F21">
        <v>2016</v>
      </c>
      <c r="G21" t="str">
        <f>_xlfn.XLOOKUP(Table1[[#This Row],[YOB]],Table2[YOB],Table2[Category])</f>
        <v>u10</v>
      </c>
      <c r="H21" t="s">
        <v>36</v>
      </c>
      <c r="I21" t="s">
        <v>23</v>
      </c>
      <c r="J21" t="s">
        <v>24</v>
      </c>
      <c r="K21" t="s">
        <v>25</v>
      </c>
      <c r="L21" t="s">
        <v>26</v>
      </c>
      <c r="M21" t="s">
        <v>27</v>
      </c>
      <c r="N21" t="s">
        <v>25</v>
      </c>
      <c r="O21" t="s">
        <v>28</v>
      </c>
      <c r="P21" t="s">
        <v>29</v>
      </c>
      <c r="Q21">
        <v>0</v>
      </c>
      <c r="R21" t="s">
        <v>30</v>
      </c>
      <c r="S21">
        <v>999</v>
      </c>
      <c r="T21">
        <v>999</v>
      </c>
      <c r="U21">
        <v>999</v>
      </c>
      <c r="V21">
        <v>999</v>
      </c>
      <c r="W21">
        <v>999</v>
      </c>
    </row>
    <row r="22" spans="1:23" x14ac:dyDescent="0.3">
      <c r="A22">
        <v>121103</v>
      </c>
      <c r="B22" t="str">
        <f>CONCATENATE(Table1[[#This Row],[Fname]]," ",Table1[[#This Row],[Lname]])</f>
        <v>Ruth Lea</v>
      </c>
      <c r="C22" t="str">
        <f>CONCATENATE(Table1[[#This Row],[Sex]],"-",Table1[[#This Row],[Column3]])</f>
        <v>F-u10</v>
      </c>
      <c r="D22" t="s">
        <v>118</v>
      </c>
      <c r="E22" t="s">
        <v>119</v>
      </c>
      <c r="F22">
        <v>2017</v>
      </c>
      <c r="G22" t="str">
        <f>_xlfn.XLOOKUP(Table1[[#This Row],[YOB]],Table2[YOB],Table2[Category])</f>
        <v>u10</v>
      </c>
      <c r="H22" t="s">
        <v>36</v>
      </c>
      <c r="I22" t="s">
        <v>23</v>
      </c>
      <c r="J22" t="s">
        <v>24</v>
      </c>
      <c r="K22" t="s">
        <v>25</v>
      </c>
      <c r="L22" t="s">
        <v>26</v>
      </c>
      <c r="M22" t="s">
        <v>27</v>
      </c>
      <c r="N22" t="s">
        <v>25</v>
      </c>
      <c r="O22" t="s">
        <v>28</v>
      </c>
      <c r="P22" t="s">
        <v>29</v>
      </c>
      <c r="Q22">
        <v>0</v>
      </c>
      <c r="R22" t="s">
        <v>30</v>
      </c>
      <c r="S22">
        <v>999</v>
      </c>
      <c r="T22">
        <v>999</v>
      </c>
      <c r="U22">
        <v>999</v>
      </c>
      <c r="V22">
        <v>999</v>
      </c>
      <c r="W22">
        <v>999</v>
      </c>
    </row>
    <row r="23" spans="1:23" x14ac:dyDescent="0.3">
      <c r="A23">
        <v>121119</v>
      </c>
      <c r="B23" t="str">
        <f>CONCATENATE(Table1[[#This Row],[Fname]]," ",Table1[[#This Row],[Lname]])</f>
        <v>Katherine Macartney</v>
      </c>
      <c r="C23" t="str">
        <f>CONCATENATE(Table1[[#This Row],[Sex]],"-",Table1[[#This Row],[Column3]])</f>
        <v>F-u10</v>
      </c>
      <c r="D23" t="s">
        <v>126</v>
      </c>
      <c r="E23" t="s">
        <v>127</v>
      </c>
      <c r="F23">
        <v>2017</v>
      </c>
      <c r="G23" t="str">
        <f>_xlfn.XLOOKUP(Table1[[#This Row],[YOB]],Table2[YOB],Table2[Category])</f>
        <v>u10</v>
      </c>
      <c r="H23" t="s">
        <v>36</v>
      </c>
      <c r="I23" t="s">
        <v>23</v>
      </c>
      <c r="J23" t="s">
        <v>24</v>
      </c>
      <c r="K23" t="s">
        <v>25</v>
      </c>
      <c r="L23" t="s">
        <v>26</v>
      </c>
      <c r="M23" t="s">
        <v>27</v>
      </c>
      <c r="N23" t="s">
        <v>25</v>
      </c>
      <c r="O23" t="s">
        <v>28</v>
      </c>
      <c r="P23" t="s">
        <v>29</v>
      </c>
      <c r="Q23">
        <v>0</v>
      </c>
      <c r="R23" t="s">
        <v>30</v>
      </c>
      <c r="S23">
        <v>999</v>
      </c>
      <c r="T23">
        <v>999</v>
      </c>
      <c r="U23">
        <v>999</v>
      </c>
      <c r="V23">
        <v>999</v>
      </c>
      <c r="W23">
        <v>999</v>
      </c>
    </row>
    <row r="24" spans="1:23" x14ac:dyDescent="0.3">
      <c r="A24">
        <v>126978</v>
      </c>
      <c r="B24" t="str">
        <f>CONCATENATE(Table1[[#This Row],[Fname]]," ",Table1[[#This Row],[Lname]])</f>
        <v>Elle Manning</v>
      </c>
      <c r="C24" t="str">
        <f>CONCATENATE(Table1[[#This Row],[Sex]],"-",Table1[[#This Row],[Column3]])</f>
        <v>F-u10</v>
      </c>
      <c r="D24" t="s">
        <v>107</v>
      </c>
      <c r="E24" t="s">
        <v>139</v>
      </c>
      <c r="F24">
        <v>2017</v>
      </c>
      <c r="G24" t="str">
        <f>_xlfn.XLOOKUP(Table1[[#This Row],[YOB]],Table2[YOB],Table2[Category])</f>
        <v>u10</v>
      </c>
      <c r="H24" t="s">
        <v>36</v>
      </c>
      <c r="I24" t="s">
        <v>23</v>
      </c>
      <c r="J24" t="s">
        <v>24</v>
      </c>
      <c r="K24" t="s">
        <v>25</v>
      </c>
      <c r="L24" t="s">
        <v>26</v>
      </c>
      <c r="M24" t="s">
        <v>27</v>
      </c>
      <c r="N24" t="s">
        <v>25</v>
      </c>
      <c r="O24" t="s">
        <v>28</v>
      </c>
      <c r="P24" t="s">
        <v>29</v>
      </c>
      <c r="Q24">
        <v>0</v>
      </c>
      <c r="R24" t="s">
        <v>30</v>
      </c>
      <c r="S24">
        <v>999</v>
      </c>
      <c r="T24">
        <v>999</v>
      </c>
      <c r="U24">
        <v>999</v>
      </c>
      <c r="V24">
        <v>999</v>
      </c>
      <c r="W24">
        <v>999</v>
      </c>
    </row>
    <row r="25" spans="1:23" x14ac:dyDescent="0.3">
      <c r="A25">
        <v>123248</v>
      </c>
      <c r="B25" t="str">
        <f>CONCATENATE(Table1[[#This Row],[Fname]]," ",Table1[[#This Row],[Lname]])</f>
        <v>Isla Maxwell</v>
      </c>
      <c r="C25" t="str">
        <f>CONCATENATE(Table1[[#This Row],[Sex]],"-",Table1[[#This Row],[Column3]])</f>
        <v>F-u10</v>
      </c>
      <c r="D25" t="s">
        <v>146</v>
      </c>
      <c r="E25" t="s">
        <v>145</v>
      </c>
      <c r="F25">
        <v>2017</v>
      </c>
      <c r="G25" t="str">
        <f>_xlfn.XLOOKUP(Table1[[#This Row],[YOB]],Table2[YOB],Table2[Category])</f>
        <v>u10</v>
      </c>
      <c r="H25" t="s">
        <v>36</v>
      </c>
      <c r="I25" t="s">
        <v>23</v>
      </c>
      <c r="J25" t="s">
        <v>24</v>
      </c>
      <c r="K25" t="s">
        <v>25</v>
      </c>
      <c r="L25" t="s">
        <v>26</v>
      </c>
      <c r="M25" t="s">
        <v>27</v>
      </c>
      <c r="N25" t="s">
        <v>25</v>
      </c>
      <c r="O25" t="s">
        <v>28</v>
      </c>
      <c r="P25" t="s">
        <v>29</v>
      </c>
      <c r="Q25">
        <v>0</v>
      </c>
      <c r="R25" t="s">
        <v>30</v>
      </c>
      <c r="S25">
        <v>999</v>
      </c>
      <c r="T25">
        <v>999</v>
      </c>
      <c r="U25">
        <v>999</v>
      </c>
      <c r="V25">
        <v>999</v>
      </c>
      <c r="W25">
        <v>999</v>
      </c>
    </row>
    <row r="26" spans="1:23" x14ac:dyDescent="0.3">
      <c r="A26">
        <v>119861</v>
      </c>
      <c r="B26" t="str">
        <f>CONCATENATE(Table1[[#This Row],[Fname]]," ",Table1[[#This Row],[Lname]])</f>
        <v>Quinn O'Hara</v>
      </c>
      <c r="C26" t="str">
        <f>CONCATENATE(Table1[[#This Row],[Sex]],"-",Table1[[#This Row],[Column3]])</f>
        <v>F-u10</v>
      </c>
      <c r="D26" t="s">
        <v>156</v>
      </c>
      <c r="E26" t="s">
        <v>157</v>
      </c>
      <c r="F26">
        <v>2016</v>
      </c>
      <c r="G26" t="str">
        <f>_xlfn.XLOOKUP(Table1[[#This Row],[YOB]],Table2[YOB],Table2[Category])</f>
        <v>u10</v>
      </c>
      <c r="H26" t="s">
        <v>36</v>
      </c>
      <c r="I26" t="s">
        <v>23</v>
      </c>
      <c r="J26" t="s">
        <v>24</v>
      </c>
      <c r="K26" t="s">
        <v>25</v>
      </c>
      <c r="L26" t="s">
        <v>26</v>
      </c>
      <c r="M26" t="s">
        <v>27</v>
      </c>
      <c r="N26" t="s">
        <v>25</v>
      </c>
      <c r="O26" t="s">
        <v>28</v>
      </c>
      <c r="P26" t="s">
        <v>29</v>
      </c>
      <c r="Q26">
        <v>0</v>
      </c>
      <c r="R26" t="s">
        <v>30</v>
      </c>
      <c r="S26">
        <v>999</v>
      </c>
      <c r="T26">
        <v>999</v>
      </c>
      <c r="U26">
        <v>999</v>
      </c>
      <c r="V26">
        <v>999</v>
      </c>
      <c r="W26">
        <v>999</v>
      </c>
    </row>
    <row r="27" spans="1:23" x14ac:dyDescent="0.3">
      <c r="A27">
        <v>123574</v>
      </c>
      <c r="B27" t="str">
        <f>CONCATENATE(Table1[[#This Row],[Fname]]," ",Table1[[#This Row],[Lname]])</f>
        <v>Bridget Ouellette</v>
      </c>
      <c r="C27" t="str">
        <f>CONCATENATE(Table1[[#This Row],[Sex]],"-",Table1[[#This Row],[Column3]])</f>
        <v>F-u10</v>
      </c>
      <c r="D27" t="s">
        <v>160</v>
      </c>
      <c r="E27" t="s">
        <v>159</v>
      </c>
      <c r="F27">
        <v>2016</v>
      </c>
      <c r="G27" t="str">
        <f>_xlfn.XLOOKUP(Table1[[#This Row],[YOB]],Table2[YOB],Table2[Category])</f>
        <v>u10</v>
      </c>
      <c r="H27" t="s">
        <v>36</v>
      </c>
      <c r="I27" t="s">
        <v>23</v>
      </c>
      <c r="J27" t="s">
        <v>24</v>
      </c>
      <c r="K27" t="s">
        <v>25</v>
      </c>
      <c r="L27" t="s">
        <v>26</v>
      </c>
      <c r="M27" t="s">
        <v>27</v>
      </c>
      <c r="N27" t="s">
        <v>25</v>
      </c>
      <c r="O27" t="s">
        <v>28</v>
      </c>
      <c r="P27" t="s">
        <v>29</v>
      </c>
      <c r="Q27">
        <v>0</v>
      </c>
      <c r="R27" t="s">
        <v>30</v>
      </c>
      <c r="S27">
        <v>999</v>
      </c>
      <c r="T27">
        <v>999</v>
      </c>
      <c r="U27">
        <v>999</v>
      </c>
      <c r="V27">
        <v>999</v>
      </c>
      <c r="W27">
        <v>999</v>
      </c>
    </row>
    <row r="28" spans="1:23" x14ac:dyDescent="0.3">
      <c r="A28">
        <v>119859</v>
      </c>
      <c r="B28" t="str">
        <f>CONCATENATE(Table1[[#This Row],[Fname]]," ",Table1[[#This Row],[Lname]])</f>
        <v>Claire Riley</v>
      </c>
      <c r="C28" t="str">
        <f>CONCATENATE(Table1[[#This Row],[Sex]],"-",Table1[[#This Row],[Column3]])</f>
        <v>F-u10</v>
      </c>
      <c r="D28" t="s">
        <v>177</v>
      </c>
      <c r="E28" t="s">
        <v>178</v>
      </c>
      <c r="F28">
        <v>2017</v>
      </c>
      <c r="G28" t="str">
        <f>_xlfn.XLOOKUP(Table1[[#This Row],[YOB]],Table2[YOB],Table2[Category])</f>
        <v>u10</v>
      </c>
      <c r="H28" t="s">
        <v>36</v>
      </c>
      <c r="I28" t="s">
        <v>23</v>
      </c>
      <c r="J28" t="s">
        <v>24</v>
      </c>
      <c r="K28" t="s">
        <v>25</v>
      </c>
      <c r="L28" t="s">
        <v>26</v>
      </c>
      <c r="M28" t="s">
        <v>27</v>
      </c>
      <c r="N28" t="s">
        <v>25</v>
      </c>
      <c r="O28" t="s">
        <v>28</v>
      </c>
      <c r="P28" t="s">
        <v>29</v>
      </c>
      <c r="Q28">
        <v>0</v>
      </c>
      <c r="R28" t="s">
        <v>30</v>
      </c>
      <c r="S28">
        <v>999</v>
      </c>
      <c r="T28">
        <v>999</v>
      </c>
      <c r="U28">
        <v>999</v>
      </c>
      <c r="V28">
        <v>999</v>
      </c>
      <c r="W28">
        <v>999</v>
      </c>
    </row>
    <row r="29" spans="1:23" x14ac:dyDescent="0.3">
      <c r="A29">
        <v>119858</v>
      </c>
      <c r="B29" t="str">
        <f>CONCATENATE(Table1[[#This Row],[Fname]]," ",Table1[[#This Row],[Lname]])</f>
        <v>Abigail Roy</v>
      </c>
      <c r="C29" t="str">
        <f>CONCATENATE(Table1[[#This Row],[Sex]],"-",Table1[[#This Row],[Column3]])</f>
        <v>F-u10</v>
      </c>
      <c r="D29" t="s">
        <v>180</v>
      </c>
      <c r="E29" t="s">
        <v>181</v>
      </c>
      <c r="F29">
        <v>2017</v>
      </c>
      <c r="G29" t="str">
        <f>_xlfn.XLOOKUP(Table1[[#This Row],[YOB]],Table2[YOB],Table2[Category])</f>
        <v>u10</v>
      </c>
      <c r="H29" t="s">
        <v>36</v>
      </c>
      <c r="I29" t="s">
        <v>23</v>
      </c>
      <c r="J29" t="s">
        <v>24</v>
      </c>
      <c r="K29" t="s">
        <v>25</v>
      </c>
      <c r="L29" t="s">
        <v>26</v>
      </c>
      <c r="M29" t="s">
        <v>27</v>
      </c>
      <c r="N29" t="s">
        <v>25</v>
      </c>
      <c r="O29" t="s">
        <v>28</v>
      </c>
      <c r="P29" t="s">
        <v>29</v>
      </c>
      <c r="Q29">
        <v>0</v>
      </c>
      <c r="R29" t="s">
        <v>30</v>
      </c>
      <c r="S29">
        <v>999</v>
      </c>
      <c r="T29">
        <v>999</v>
      </c>
      <c r="U29">
        <v>999</v>
      </c>
      <c r="V29">
        <v>999</v>
      </c>
      <c r="W29">
        <v>999</v>
      </c>
    </row>
    <row r="30" spans="1:23" x14ac:dyDescent="0.3">
      <c r="A30">
        <v>126971</v>
      </c>
      <c r="B30" t="str">
        <f>CONCATENATE(Table1[[#This Row],[Fname]]," ",Table1[[#This Row],[Lname]])</f>
        <v>Ivy Smith</v>
      </c>
      <c r="C30" t="str">
        <f>CONCATENATE(Table1[[#This Row],[Sex]],"-",Table1[[#This Row],[Column3]])</f>
        <v>F-u10</v>
      </c>
      <c r="D30" t="s">
        <v>195</v>
      </c>
      <c r="E30" t="s">
        <v>196</v>
      </c>
      <c r="F30">
        <v>2017</v>
      </c>
      <c r="G30" t="str">
        <f>_xlfn.XLOOKUP(Table1[[#This Row],[YOB]],Table2[YOB],Table2[Category])</f>
        <v>u10</v>
      </c>
      <c r="H30" t="s">
        <v>36</v>
      </c>
      <c r="I30" t="s">
        <v>23</v>
      </c>
      <c r="J30" t="s">
        <v>24</v>
      </c>
      <c r="K30" t="s">
        <v>25</v>
      </c>
      <c r="L30" t="s">
        <v>26</v>
      </c>
      <c r="M30" t="s">
        <v>27</v>
      </c>
      <c r="N30" t="s">
        <v>25</v>
      </c>
      <c r="O30" t="s">
        <v>28</v>
      </c>
      <c r="P30" t="s">
        <v>29</v>
      </c>
      <c r="Q30">
        <v>0</v>
      </c>
      <c r="R30" t="s">
        <v>30</v>
      </c>
      <c r="S30">
        <v>999</v>
      </c>
      <c r="T30">
        <v>999</v>
      </c>
      <c r="U30">
        <v>999</v>
      </c>
      <c r="V30">
        <v>999</v>
      </c>
      <c r="W30">
        <v>999</v>
      </c>
    </row>
    <row r="31" spans="1:23" x14ac:dyDescent="0.3">
      <c r="A31">
        <v>126981</v>
      </c>
      <c r="B31" t="str">
        <f>CONCATENATE(Table1[[#This Row],[Fname]]," ",Table1[[#This Row],[Lname]])</f>
        <v>Eloise Steeves</v>
      </c>
      <c r="C31" t="str">
        <f>CONCATENATE(Table1[[#This Row],[Sex]],"-",Table1[[#This Row],[Column3]])</f>
        <v>F-u10</v>
      </c>
      <c r="D31" t="s">
        <v>198</v>
      </c>
      <c r="E31" t="s">
        <v>199</v>
      </c>
      <c r="F31">
        <v>2017</v>
      </c>
      <c r="G31" t="str">
        <f>_xlfn.XLOOKUP(Table1[[#This Row],[YOB]],Table2[YOB],Table2[Category])</f>
        <v>u10</v>
      </c>
      <c r="H31" t="s">
        <v>36</v>
      </c>
      <c r="I31" t="s">
        <v>23</v>
      </c>
      <c r="J31" t="s">
        <v>24</v>
      </c>
      <c r="K31" t="s">
        <v>25</v>
      </c>
      <c r="L31" t="s">
        <v>26</v>
      </c>
      <c r="M31" t="s">
        <v>27</v>
      </c>
      <c r="N31" t="s">
        <v>25</v>
      </c>
      <c r="O31" t="s">
        <v>28</v>
      </c>
      <c r="P31" t="s">
        <v>29</v>
      </c>
      <c r="Q31">
        <v>0</v>
      </c>
      <c r="R31" t="s">
        <v>30</v>
      </c>
      <c r="S31">
        <v>999</v>
      </c>
      <c r="T31">
        <v>999</v>
      </c>
      <c r="U31">
        <v>999</v>
      </c>
      <c r="V31">
        <v>999</v>
      </c>
      <c r="W31">
        <v>999</v>
      </c>
    </row>
    <row r="32" spans="1:23" x14ac:dyDescent="0.3">
      <c r="A32">
        <v>123261</v>
      </c>
      <c r="B32" t="str">
        <f>CONCATENATE(Table1[[#This Row],[Fname]]," ",Table1[[#This Row],[Lname]])</f>
        <v>Anna Thibodeau</v>
      </c>
      <c r="C32" t="str">
        <f>CONCATENATE(Table1[[#This Row],[Sex]],"-",Table1[[#This Row],[Column3]])</f>
        <v>F-u10</v>
      </c>
      <c r="D32" t="s">
        <v>205</v>
      </c>
      <c r="E32" t="s">
        <v>206</v>
      </c>
      <c r="F32">
        <v>2016</v>
      </c>
      <c r="G32" t="str">
        <f>_xlfn.XLOOKUP(Table1[[#This Row],[YOB]],Table2[YOB],Table2[Category])</f>
        <v>u10</v>
      </c>
      <c r="H32" t="s">
        <v>36</v>
      </c>
      <c r="I32" t="s">
        <v>23</v>
      </c>
      <c r="J32" t="s">
        <v>24</v>
      </c>
      <c r="K32" t="s">
        <v>25</v>
      </c>
      <c r="L32" t="s">
        <v>26</v>
      </c>
      <c r="M32" t="s">
        <v>27</v>
      </c>
      <c r="N32" t="s">
        <v>25</v>
      </c>
      <c r="O32" t="s">
        <v>28</v>
      </c>
      <c r="P32" t="s">
        <v>29</v>
      </c>
      <c r="Q32">
        <v>0</v>
      </c>
      <c r="R32" t="s">
        <v>30</v>
      </c>
      <c r="S32">
        <v>999</v>
      </c>
      <c r="T32">
        <v>999</v>
      </c>
      <c r="U32">
        <v>999</v>
      </c>
      <c r="V32">
        <v>999</v>
      </c>
      <c r="W32">
        <v>999</v>
      </c>
    </row>
    <row r="33" spans="1:23" x14ac:dyDescent="0.3">
      <c r="A33">
        <v>126962</v>
      </c>
      <c r="B33" t="str">
        <f>CONCATENATE(Table1[[#This Row],[Fname]]," ",Table1[[#This Row],[Lname]])</f>
        <v>Mira Wadhwani</v>
      </c>
      <c r="C33" t="str">
        <f>CONCATENATE(Table1[[#This Row],[Sex]],"-",Table1[[#This Row],[Column3]])</f>
        <v>F-u10</v>
      </c>
      <c r="D33" t="s">
        <v>210</v>
      </c>
      <c r="E33" t="s">
        <v>211</v>
      </c>
      <c r="F33">
        <v>2017</v>
      </c>
      <c r="G33" t="str">
        <f>_xlfn.XLOOKUP(Table1[[#This Row],[YOB]],Table2[YOB],Table2[Category])</f>
        <v>u10</v>
      </c>
      <c r="H33" t="s">
        <v>36</v>
      </c>
      <c r="I33" t="s">
        <v>23</v>
      </c>
      <c r="J33" t="s">
        <v>24</v>
      </c>
      <c r="K33" t="s">
        <v>25</v>
      </c>
      <c r="L33" t="s">
        <v>26</v>
      </c>
      <c r="M33" t="s">
        <v>27</v>
      </c>
      <c r="N33" t="s">
        <v>25</v>
      </c>
      <c r="O33" t="s">
        <v>28</v>
      </c>
      <c r="P33" t="s">
        <v>29</v>
      </c>
      <c r="Q33">
        <v>0</v>
      </c>
      <c r="R33" t="s">
        <v>30</v>
      </c>
      <c r="S33">
        <v>999</v>
      </c>
      <c r="T33">
        <v>999</v>
      </c>
      <c r="U33">
        <v>999</v>
      </c>
      <c r="V33">
        <v>999</v>
      </c>
      <c r="W33">
        <v>999</v>
      </c>
    </row>
    <row r="34" spans="1:23" x14ac:dyDescent="0.3">
      <c r="A34">
        <v>123288</v>
      </c>
      <c r="B34" t="str">
        <f>CONCATENATE(Table1[[#This Row],[Fname]]," ",Table1[[#This Row],[Lname]])</f>
        <v>Luca Weaver Crawford</v>
      </c>
      <c r="C34" t="str">
        <f>CONCATENATE(Table1[[#This Row],[Sex]],"-",Table1[[#This Row],[Column3]])</f>
        <v>F-u10</v>
      </c>
      <c r="D34" t="s">
        <v>212</v>
      </c>
      <c r="E34" t="s">
        <v>213</v>
      </c>
      <c r="F34">
        <v>2017</v>
      </c>
      <c r="G34" t="str">
        <f>_xlfn.XLOOKUP(Table1[[#This Row],[YOB]],Table2[YOB],Table2[Category])</f>
        <v>u10</v>
      </c>
      <c r="H34" t="s">
        <v>36</v>
      </c>
      <c r="I34" t="s">
        <v>23</v>
      </c>
      <c r="J34" t="s">
        <v>24</v>
      </c>
      <c r="K34" t="s">
        <v>25</v>
      </c>
      <c r="L34" t="s">
        <v>26</v>
      </c>
      <c r="M34" t="s">
        <v>27</v>
      </c>
      <c r="N34" t="s">
        <v>25</v>
      </c>
      <c r="O34" t="s">
        <v>28</v>
      </c>
      <c r="P34" t="s">
        <v>29</v>
      </c>
      <c r="Q34">
        <v>0</v>
      </c>
      <c r="R34" t="s">
        <v>30</v>
      </c>
      <c r="S34">
        <v>999</v>
      </c>
      <c r="T34">
        <v>999</v>
      </c>
      <c r="U34">
        <v>999</v>
      </c>
      <c r="V34">
        <v>999</v>
      </c>
      <c r="W34">
        <v>999</v>
      </c>
    </row>
    <row r="35" spans="1:23" x14ac:dyDescent="0.3">
      <c r="A35">
        <v>120769</v>
      </c>
      <c r="B35" t="str">
        <f>CONCATENATE(Table1[[#This Row],[Fname]]," ",Table1[[#This Row],[Lname]])</f>
        <v>Alexa Daigle</v>
      </c>
      <c r="C35" t="str">
        <f>CONCATENATE(Table1[[#This Row],[Sex]],"-",Table1[[#This Row],[Column3]])</f>
        <v>F-u10</v>
      </c>
      <c r="D35" t="s">
        <v>229</v>
      </c>
      <c r="E35" t="s">
        <v>230</v>
      </c>
      <c r="F35">
        <v>2017</v>
      </c>
      <c r="G35" t="str">
        <f>_xlfn.XLOOKUP(Table1[[#This Row],[YOB]],Table2[YOB],Table2[Category])</f>
        <v>u10</v>
      </c>
      <c r="H35" t="s">
        <v>36</v>
      </c>
      <c r="I35" t="s">
        <v>222</v>
      </c>
      <c r="J35" t="s">
        <v>223</v>
      </c>
      <c r="K35" t="s">
        <v>25</v>
      </c>
      <c r="L35" t="s">
        <v>26</v>
      </c>
      <c r="M35" t="s">
        <v>27</v>
      </c>
      <c r="N35" t="s">
        <v>25</v>
      </c>
      <c r="O35" t="s">
        <v>28</v>
      </c>
      <c r="P35" t="s">
        <v>29</v>
      </c>
      <c r="Q35">
        <v>0</v>
      </c>
      <c r="R35" t="s">
        <v>30</v>
      </c>
      <c r="S35">
        <v>999</v>
      </c>
      <c r="T35">
        <v>999</v>
      </c>
      <c r="U35">
        <v>999</v>
      </c>
      <c r="V35">
        <v>999</v>
      </c>
      <c r="W35">
        <v>999</v>
      </c>
    </row>
    <row r="36" spans="1:23" x14ac:dyDescent="0.3">
      <c r="A36">
        <v>120665</v>
      </c>
      <c r="B36" t="str">
        <f>CONCATENATE(Table1[[#This Row],[Fname]]," ",Table1[[#This Row],[Lname]])</f>
        <v>Anna Craig</v>
      </c>
      <c r="C36" t="str">
        <f>CONCATENATE(Table1[[#This Row],[Sex]],"-",Table1[[#This Row],[Column3]])</f>
        <v>F-u12</v>
      </c>
      <c r="D36" t="s">
        <v>205</v>
      </c>
      <c r="E36" t="s">
        <v>273</v>
      </c>
      <c r="F36">
        <v>2015</v>
      </c>
      <c r="G36" t="str">
        <f>_xlfn.XLOOKUP(Table1[[#This Row],[YOB]],Table2[YOB],Table2[Category])</f>
        <v>u12</v>
      </c>
      <c r="H36" t="s">
        <v>36</v>
      </c>
      <c r="I36" t="s">
        <v>256</v>
      </c>
      <c r="J36" t="s">
        <v>257</v>
      </c>
      <c r="K36" t="s">
        <v>25</v>
      </c>
      <c r="L36" t="s">
        <v>26</v>
      </c>
      <c r="M36" t="s">
        <v>27</v>
      </c>
      <c r="N36" t="s">
        <v>25</v>
      </c>
      <c r="O36" t="s">
        <v>32</v>
      </c>
      <c r="P36" t="s">
        <v>33</v>
      </c>
      <c r="Q36">
        <v>0</v>
      </c>
      <c r="R36" t="s">
        <v>30</v>
      </c>
      <c r="S36">
        <v>999</v>
      </c>
      <c r="T36">
        <v>999</v>
      </c>
      <c r="U36">
        <v>999</v>
      </c>
      <c r="V36">
        <v>999</v>
      </c>
      <c r="W36">
        <v>999</v>
      </c>
    </row>
    <row r="37" spans="1:23" x14ac:dyDescent="0.3">
      <c r="A37">
        <v>124080</v>
      </c>
      <c r="B37" t="str">
        <f>CONCATENATE(Table1[[#This Row],[Fname]]," ",Table1[[#This Row],[Lname]])</f>
        <v>Chloe Cutler</v>
      </c>
      <c r="C37" t="str">
        <f>CONCATENATE(Table1[[#This Row],[Sex]],"-",Table1[[#This Row],[Column3]])</f>
        <v>F-u12</v>
      </c>
      <c r="D37" t="s">
        <v>120</v>
      </c>
      <c r="E37" t="s">
        <v>274</v>
      </c>
      <c r="F37">
        <v>2014</v>
      </c>
      <c r="G37" t="str">
        <f>_xlfn.XLOOKUP(Table1[[#This Row],[YOB]],Table2[YOB],Table2[Category])</f>
        <v>u12</v>
      </c>
      <c r="H37" t="s">
        <v>36</v>
      </c>
      <c r="I37" t="s">
        <v>256</v>
      </c>
      <c r="J37" t="s">
        <v>257</v>
      </c>
      <c r="K37" t="s">
        <v>25</v>
      </c>
      <c r="L37" t="s">
        <v>26</v>
      </c>
      <c r="M37" t="s">
        <v>27</v>
      </c>
      <c r="N37" t="s">
        <v>25</v>
      </c>
      <c r="O37" t="s">
        <v>32</v>
      </c>
      <c r="P37" t="s">
        <v>33</v>
      </c>
      <c r="Q37">
        <v>0</v>
      </c>
      <c r="R37" t="s">
        <v>30</v>
      </c>
      <c r="S37">
        <v>999</v>
      </c>
      <c r="T37">
        <v>999</v>
      </c>
      <c r="U37">
        <v>999</v>
      </c>
      <c r="V37">
        <v>999</v>
      </c>
      <c r="W37">
        <v>999</v>
      </c>
    </row>
    <row r="38" spans="1:23" x14ac:dyDescent="0.3">
      <c r="A38">
        <v>119074</v>
      </c>
      <c r="B38" t="str">
        <f>CONCATENATE(Table1[[#This Row],[Fname]]," ",Table1[[#This Row],[Lname]])</f>
        <v>Sophie de Passillé</v>
      </c>
      <c r="C38" t="str">
        <f>CONCATENATE(Table1[[#This Row],[Sex]],"-",Table1[[#This Row],[Column3]])</f>
        <v>F-u12</v>
      </c>
      <c r="D38" t="s">
        <v>280</v>
      </c>
      <c r="E38" t="s">
        <v>279</v>
      </c>
      <c r="F38">
        <v>2015</v>
      </c>
      <c r="G38" t="str">
        <f>_xlfn.XLOOKUP(Table1[[#This Row],[YOB]],Table2[YOB],Table2[Category])</f>
        <v>u12</v>
      </c>
      <c r="H38" t="s">
        <v>36</v>
      </c>
      <c r="I38" t="s">
        <v>256</v>
      </c>
      <c r="J38" t="s">
        <v>257</v>
      </c>
      <c r="K38" t="s">
        <v>25</v>
      </c>
      <c r="L38" t="s">
        <v>26</v>
      </c>
      <c r="M38" t="s">
        <v>27</v>
      </c>
      <c r="N38" t="s">
        <v>25</v>
      </c>
      <c r="O38" t="s">
        <v>32</v>
      </c>
      <c r="P38" t="s">
        <v>33</v>
      </c>
      <c r="Q38">
        <v>0</v>
      </c>
      <c r="R38" t="s">
        <v>30</v>
      </c>
      <c r="S38">
        <v>999</v>
      </c>
      <c r="T38">
        <v>999</v>
      </c>
      <c r="U38">
        <v>999</v>
      </c>
      <c r="V38">
        <v>999</v>
      </c>
      <c r="W38">
        <v>999</v>
      </c>
    </row>
    <row r="39" spans="1:23" x14ac:dyDescent="0.3">
      <c r="A39">
        <v>120662</v>
      </c>
      <c r="B39" t="str">
        <f>CONCATENATE(Table1[[#This Row],[Fname]]," ",Table1[[#This Row],[Lname]])</f>
        <v>Lexie Getuaban</v>
      </c>
      <c r="C39" t="str">
        <f>CONCATENATE(Table1[[#This Row],[Sex]],"-",Table1[[#This Row],[Column3]])</f>
        <v>F-u12</v>
      </c>
      <c r="D39" t="s">
        <v>288</v>
      </c>
      <c r="E39" t="s">
        <v>289</v>
      </c>
      <c r="F39">
        <v>2014</v>
      </c>
      <c r="G39" t="str">
        <f>_xlfn.XLOOKUP(Table1[[#This Row],[YOB]],Table2[YOB],Table2[Category])</f>
        <v>u12</v>
      </c>
      <c r="H39" t="s">
        <v>36</v>
      </c>
      <c r="I39" t="s">
        <v>256</v>
      </c>
      <c r="J39" t="s">
        <v>257</v>
      </c>
      <c r="K39" t="s">
        <v>25</v>
      </c>
      <c r="L39" t="s">
        <v>26</v>
      </c>
      <c r="M39" t="s">
        <v>27</v>
      </c>
      <c r="N39" t="s">
        <v>25</v>
      </c>
      <c r="O39" t="s">
        <v>32</v>
      </c>
      <c r="P39" t="s">
        <v>33</v>
      </c>
      <c r="Q39">
        <v>0</v>
      </c>
      <c r="R39" t="s">
        <v>30</v>
      </c>
      <c r="S39">
        <v>999</v>
      </c>
      <c r="T39">
        <v>999</v>
      </c>
      <c r="U39">
        <v>999</v>
      </c>
      <c r="V39">
        <v>999</v>
      </c>
      <c r="W39">
        <v>999</v>
      </c>
    </row>
    <row r="40" spans="1:23" x14ac:dyDescent="0.3">
      <c r="A40">
        <v>128639</v>
      </c>
      <c r="B40" t="str">
        <f>CONCATENATE(Table1[[#This Row],[Fname]]," ",Table1[[#This Row],[Lname]])</f>
        <v>Lillian Graves</v>
      </c>
      <c r="C40" t="str">
        <f>CONCATENATE(Table1[[#This Row],[Sex]],"-",Table1[[#This Row],[Column3]])</f>
        <v>F-u12</v>
      </c>
      <c r="D40" t="s">
        <v>908</v>
      </c>
      <c r="E40" t="s">
        <v>909</v>
      </c>
      <c r="F40">
        <v>2014</v>
      </c>
      <c r="G40" t="str">
        <f>_xlfn.XLOOKUP(Table1[[#This Row],[YOB]],Table2[YOB],Table2[Category])</f>
        <v>u12</v>
      </c>
      <c r="H40" t="s">
        <v>36</v>
      </c>
      <c r="I40" t="s">
        <v>256</v>
      </c>
      <c r="J40" t="s">
        <v>257</v>
      </c>
      <c r="K40" t="s">
        <v>25</v>
      </c>
      <c r="L40" t="s">
        <v>26</v>
      </c>
      <c r="M40" t="s">
        <v>27</v>
      </c>
      <c r="N40" t="s">
        <v>25</v>
      </c>
      <c r="O40" t="s">
        <v>32</v>
      </c>
      <c r="P40" t="s">
        <v>33</v>
      </c>
      <c r="Q40">
        <v>0</v>
      </c>
      <c r="R40" t="s">
        <v>30</v>
      </c>
      <c r="S40">
        <v>999</v>
      </c>
      <c r="T40">
        <v>999</v>
      </c>
      <c r="U40">
        <v>999</v>
      </c>
      <c r="V40">
        <v>999</v>
      </c>
      <c r="W40">
        <v>999</v>
      </c>
    </row>
    <row r="41" spans="1:23" x14ac:dyDescent="0.3">
      <c r="A41">
        <v>120667</v>
      </c>
      <c r="B41" t="str">
        <f>CONCATENATE(Table1[[#This Row],[Fname]]," ",Table1[[#This Row],[Lname]])</f>
        <v>Kate Lenehan</v>
      </c>
      <c r="C41" t="str">
        <f>CONCATENATE(Table1[[#This Row],[Sex]],"-",Table1[[#This Row],[Column3]])</f>
        <v>F-u12</v>
      </c>
      <c r="D41" t="s">
        <v>301</v>
      </c>
      <c r="E41" t="s">
        <v>300</v>
      </c>
      <c r="F41">
        <v>2014</v>
      </c>
      <c r="G41" t="str">
        <f>_xlfn.XLOOKUP(Table1[[#This Row],[YOB]],Table2[YOB],Table2[Category])</f>
        <v>u12</v>
      </c>
      <c r="H41" t="s">
        <v>36</v>
      </c>
      <c r="I41" t="s">
        <v>256</v>
      </c>
      <c r="J41" t="s">
        <v>257</v>
      </c>
      <c r="K41" t="s">
        <v>25</v>
      </c>
      <c r="L41" t="s">
        <v>26</v>
      </c>
      <c r="M41" t="s">
        <v>27</v>
      </c>
      <c r="N41" t="s">
        <v>25</v>
      </c>
      <c r="O41" t="s">
        <v>32</v>
      </c>
      <c r="P41" t="s">
        <v>33</v>
      </c>
      <c r="Q41">
        <v>0</v>
      </c>
      <c r="R41" t="s">
        <v>30</v>
      </c>
      <c r="S41">
        <v>999</v>
      </c>
      <c r="T41">
        <v>999</v>
      </c>
      <c r="U41">
        <v>999</v>
      </c>
      <c r="V41">
        <v>999</v>
      </c>
      <c r="W41">
        <v>999</v>
      </c>
    </row>
    <row r="42" spans="1:23" x14ac:dyDescent="0.3">
      <c r="A42">
        <v>120660</v>
      </c>
      <c r="B42" t="str">
        <f>CONCATENATE(Table1[[#This Row],[Fname]]," ",Table1[[#This Row],[Lname]])</f>
        <v>Morgan MacLean</v>
      </c>
      <c r="C42" t="str">
        <f>CONCATENATE(Table1[[#This Row],[Sex]],"-",Table1[[#This Row],[Column3]])</f>
        <v>F-u12</v>
      </c>
      <c r="D42" t="s">
        <v>306</v>
      </c>
      <c r="E42" t="s">
        <v>305</v>
      </c>
      <c r="F42">
        <v>2014</v>
      </c>
      <c r="G42" t="str">
        <f>_xlfn.XLOOKUP(Table1[[#This Row],[YOB]],Table2[YOB],Table2[Category])</f>
        <v>u12</v>
      </c>
      <c r="H42" t="s">
        <v>36</v>
      </c>
      <c r="I42" t="s">
        <v>256</v>
      </c>
      <c r="J42" t="s">
        <v>257</v>
      </c>
      <c r="K42" t="s">
        <v>25</v>
      </c>
      <c r="L42" t="s">
        <v>26</v>
      </c>
      <c r="M42" t="s">
        <v>27</v>
      </c>
      <c r="N42" t="s">
        <v>25</v>
      </c>
      <c r="O42" t="s">
        <v>32</v>
      </c>
      <c r="P42" t="s">
        <v>33</v>
      </c>
      <c r="Q42">
        <v>0</v>
      </c>
      <c r="R42" t="s">
        <v>30</v>
      </c>
      <c r="S42">
        <v>999</v>
      </c>
      <c r="T42">
        <v>999</v>
      </c>
      <c r="U42">
        <v>999</v>
      </c>
      <c r="V42">
        <v>999</v>
      </c>
      <c r="W42">
        <v>999</v>
      </c>
    </row>
    <row r="43" spans="1:23" x14ac:dyDescent="0.3">
      <c r="A43">
        <v>119081</v>
      </c>
      <c r="B43" t="str">
        <f>CONCATENATE(Table1[[#This Row],[Fname]]," ",Table1[[#This Row],[Lname]])</f>
        <v>Elin Pembridge</v>
      </c>
      <c r="C43" t="str">
        <f>CONCATENATE(Table1[[#This Row],[Sex]],"-",Table1[[#This Row],[Column3]])</f>
        <v>F-u12</v>
      </c>
      <c r="D43" t="s">
        <v>325</v>
      </c>
      <c r="E43" t="s">
        <v>326</v>
      </c>
      <c r="F43">
        <v>2015</v>
      </c>
      <c r="G43" t="str">
        <f>_xlfn.XLOOKUP(Table1[[#This Row],[YOB]],Table2[YOB],Table2[Category])</f>
        <v>u12</v>
      </c>
      <c r="H43" t="s">
        <v>36</v>
      </c>
      <c r="I43" t="s">
        <v>256</v>
      </c>
      <c r="J43" t="s">
        <v>257</v>
      </c>
      <c r="K43" t="s">
        <v>25</v>
      </c>
      <c r="L43" t="s">
        <v>26</v>
      </c>
      <c r="M43" t="s">
        <v>27</v>
      </c>
      <c r="N43" t="s">
        <v>25</v>
      </c>
      <c r="O43" t="s">
        <v>32</v>
      </c>
      <c r="P43" t="s">
        <v>33</v>
      </c>
      <c r="Q43">
        <v>0</v>
      </c>
      <c r="R43" t="s">
        <v>30</v>
      </c>
      <c r="S43">
        <v>999</v>
      </c>
      <c r="T43">
        <v>999</v>
      </c>
      <c r="U43">
        <v>999</v>
      </c>
      <c r="V43">
        <v>999</v>
      </c>
      <c r="W43">
        <v>999</v>
      </c>
    </row>
    <row r="44" spans="1:23" x14ac:dyDescent="0.3">
      <c r="A44">
        <v>116952</v>
      </c>
      <c r="B44" t="str">
        <f>CONCATENATE(Table1[[#This Row],[Fname]]," ",Table1[[#This Row],[Lname]])</f>
        <v>Hayden Sharpe</v>
      </c>
      <c r="C44" t="str">
        <f>CONCATENATE(Table1[[#This Row],[Sex]],"-",Table1[[#This Row],[Column3]])</f>
        <v>F-u12</v>
      </c>
      <c r="D44" t="s">
        <v>338</v>
      </c>
      <c r="E44" t="s">
        <v>339</v>
      </c>
      <c r="F44">
        <v>2014</v>
      </c>
      <c r="G44" t="str">
        <f>_xlfn.XLOOKUP(Table1[[#This Row],[YOB]],Table2[YOB],Table2[Category])</f>
        <v>u12</v>
      </c>
      <c r="H44" t="s">
        <v>36</v>
      </c>
      <c r="I44" t="s">
        <v>256</v>
      </c>
      <c r="J44" t="s">
        <v>257</v>
      </c>
      <c r="K44" t="s">
        <v>25</v>
      </c>
      <c r="L44" t="s">
        <v>26</v>
      </c>
      <c r="M44" t="s">
        <v>27</v>
      </c>
      <c r="N44" t="s">
        <v>25</v>
      </c>
      <c r="O44" t="s">
        <v>32</v>
      </c>
      <c r="P44" t="s">
        <v>33</v>
      </c>
      <c r="Q44">
        <v>0</v>
      </c>
      <c r="R44" t="s">
        <v>30</v>
      </c>
      <c r="S44">
        <v>999</v>
      </c>
      <c r="T44">
        <v>999</v>
      </c>
      <c r="U44">
        <v>999</v>
      </c>
      <c r="V44">
        <v>999</v>
      </c>
      <c r="W44">
        <v>999</v>
      </c>
    </row>
    <row r="45" spans="1:23" x14ac:dyDescent="0.3">
      <c r="A45">
        <v>120668</v>
      </c>
      <c r="B45" t="str">
        <f>CONCATENATE(Table1[[#This Row],[Fname]]," ",Table1[[#This Row],[Lname]])</f>
        <v>Piper Stuart</v>
      </c>
      <c r="C45" t="str">
        <f>CONCATENATE(Table1[[#This Row],[Sex]],"-",Table1[[#This Row],[Column3]])</f>
        <v>F-u12</v>
      </c>
      <c r="D45" t="s">
        <v>346</v>
      </c>
      <c r="E45" t="s">
        <v>345</v>
      </c>
      <c r="F45">
        <v>2014</v>
      </c>
      <c r="G45" t="str">
        <f>_xlfn.XLOOKUP(Table1[[#This Row],[YOB]],Table2[YOB],Table2[Category])</f>
        <v>u12</v>
      </c>
      <c r="H45" t="s">
        <v>36</v>
      </c>
      <c r="I45" t="s">
        <v>256</v>
      </c>
      <c r="J45" t="s">
        <v>257</v>
      </c>
      <c r="K45" t="s">
        <v>25</v>
      </c>
      <c r="L45" t="s">
        <v>26</v>
      </c>
      <c r="M45" t="s">
        <v>27</v>
      </c>
      <c r="N45" t="s">
        <v>25</v>
      </c>
      <c r="O45" t="s">
        <v>32</v>
      </c>
      <c r="P45" t="s">
        <v>33</v>
      </c>
      <c r="Q45">
        <v>0</v>
      </c>
      <c r="R45" t="s">
        <v>30</v>
      </c>
      <c r="S45">
        <v>999</v>
      </c>
      <c r="T45">
        <v>999</v>
      </c>
      <c r="U45">
        <v>999</v>
      </c>
      <c r="V45">
        <v>999</v>
      </c>
      <c r="W45">
        <v>999</v>
      </c>
    </row>
    <row r="46" spans="1:23" x14ac:dyDescent="0.3">
      <c r="A46">
        <v>108671</v>
      </c>
      <c r="B46" t="str">
        <f>CONCATENATE(Table1[[#This Row],[Fname]]," ",Table1[[#This Row],[Lname]])</f>
        <v>Sadie Budd</v>
      </c>
      <c r="C46" t="str">
        <f>CONCATENATE(Table1[[#This Row],[Sex]],"-",Table1[[#This Row],[Column3]])</f>
        <v>F-u12</v>
      </c>
      <c r="D46" t="s">
        <v>60</v>
      </c>
      <c r="E46" t="s">
        <v>59</v>
      </c>
      <c r="F46">
        <v>2014</v>
      </c>
      <c r="G46" t="str">
        <f>_xlfn.XLOOKUP(Table1[[#This Row],[YOB]],Table2[YOB],Table2[Category])</f>
        <v>u12</v>
      </c>
      <c r="H46" t="s">
        <v>36</v>
      </c>
      <c r="I46" t="s">
        <v>23</v>
      </c>
      <c r="J46" t="s">
        <v>24</v>
      </c>
      <c r="K46" t="s">
        <v>25</v>
      </c>
      <c r="L46" t="s">
        <v>26</v>
      </c>
      <c r="M46" t="s">
        <v>27</v>
      </c>
      <c r="N46" t="s">
        <v>25</v>
      </c>
      <c r="O46" t="s">
        <v>32</v>
      </c>
      <c r="P46" t="s">
        <v>33</v>
      </c>
      <c r="Q46">
        <v>0</v>
      </c>
      <c r="R46" t="s">
        <v>30</v>
      </c>
      <c r="S46">
        <v>999</v>
      </c>
      <c r="T46">
        <v>999</v>
      </c>
      <c r="U46">
        <v>999</v>
      </c>
      <c r="V46">
        <v>999</v>
      </c>
      <c r="W46">
        <v>999</v>
      </c>
    </row>
    <row r="47" spans="1:23" x14ac:dyDescent="0.3">
      <c r="A47">
        <v>109934</v>
      </c>
      <c r="B47" t="str">
        <f>CONCATENATE(Table1[[#This Row],[Fname]]," ",Table1[[#This Row],[Lname]])</f>
        <v>Elliette Freeman</v>
      </c>
      <c r="C47" t="str">
        <f>CONCATENATE(Table1[[#This Row],[Sex]],"-",Table1[[#This Row],[Column3]])</f>
        <v>F-u12</v>
      </c>
      <c r="D47" t="s">
        <v>87</v>
      </c>
      <c r="E47" t="s">
        <v>88</v>
      </c>
      <c r="F47">
        <v>2014</v>
      </c>
      <c r="G47" t="str">
        <f>_xlfn.XLOOKUP(Table1[[#This Row],[YOB]],Table2[YOB],Table2[Category])</f>
        <v>u12</v>
      </c>
      <c r="H47" t="s">
        <v>36</v>
      </c>
      <c r="I47" t="s">
        <v>23</v>
      </c>
      <c r="J47" t="s">
        <v>24</v>
      </c>
      <c r="K47" t="s">
        <v>25</v>
      </c>
      <c r="L47" t="s">
        <v>26</v>
      </c>
      <c r="M47" t="s">
        <v>27</v>
      </c>
      <c r="N47" t="s">
        <v>25</v>
      </c>
      <c r="O47" t="s">
        <v>32</v>
      </c>
      <c r="P47" t="s">
        <v>33</v>
      </c>
      <c r="Q47">
        <v>0</v>
      </c>
      <c r="R47" t="s">
        <v>30</v>
      </c>
      <c r="S47">
        <v>999</v>
      </c>
      <c r="T47">
        <v>999</v>
      </c>
      <c r="U47">
        <v>999</v>
      </c>
      <c r="V47">
        <v>999</v>
      </c>
      <c r="W47">
        <v>999</v>
      </c>
    </row>
    <row r="48" spans="1:23" x14ac:dyDescent="0.3">
      <c r="A48">
        <v>123279</v>
      </c>
      <c r="B48" t="str">
        <f>CONCATENATE(Table1[[#This Row],[Fname]]," ",Table1[[#This Row],[Lname]])</f>
        <v>Ella Laird</v>
      </c>
      <c r="C48" t="str">
        <f>CONCATENATE(Table1[[#This Row],[Sex]],"-",Table1[[#This Row],[Column3]])</f>
        <v>F-u12</v>
      </c>
      <c r="D48" t="s">
        <v>112</v>
      </c>
      <c r="E48" t="s">
        <v>113</v>
      </c>
      <c r="F48">
        <v>2015</v>
      </c>
      <c r="G48" t="str">
        <f>_xlfn.XLOOKUP(Table1[[#This Row],[YOB]],Table2[YOB],Table2[Category])</f>
        <v>u12</v>
      </c>
      <c r="H48" t="s">
        <v>36</v>
      </c>
      <c r="I48" t="s">
        <v>23</v>
      </c>
      <c r="J48" t="s">
        <v>24</v>
      </c>
      <c r="K48" t="s">
        <v>25</v>
      </c>
      <c r="L48" t="s">
        <v>26</v>
      </c>
      <c r="M48" t="s">
        <v>27</v>
      </c>
      <c r="N48" t="s">
        <v>25</v>
      </c>
      <c r="O48" t="s">
        <v>28</v>
      </c>
      <c r="P48" t="s">
        <v>29</v>
      </c>
      <c r="Q48">
        <v>0</v>
      </c>
      <c r="R48" t="s">
        <v>30</v>
      </c>
      <c r="S48">
        <v>999</v>
      </c>
      <c r="T48">
        <v>999</v>
      </c>
      <c r="U48">
        <v>999</v>
      </c>
      <c r="V48">
        <v>999</v>
      </c>
      <c r="W48">
        <v>999</v>
      </c>
    </row>
    <row r="49" spans="1:23" x14ac:dyDescent="0.3">
      <c r="A49">
        <v>110444</v>
      </c>
      <c r="B49" t="str">
        <f>CONCATENATE(Table1[[#This Row],[Fname]]," ",Table1[[#This Row],[Lname]])</f>
        <v>Chloe Leblanc</v>
      </c>
      <c r="C49" t="str">
        <f>CONCATENATE(Table1[[#This Row],[Sex]],"-",Table1[[#This Row],[Column3]])</f>
        <v>F-u12</v>
      </c>
      <c r="D49" t="s">
        <v>120</v>
      </c>
      <c r="E49" t="s">
        <v>121</v>
      </c>
      <c r="F49">
        <v>2015</v>
      </c>
      <c r="G49" t="str">
        <f>_xlfn.XLOOKUP(Table1[[#This Row],[YOB]],Table2[YOB],Table2[Category])</f>
        <v>u12</v>
      </c>
      <c r="H49" t="s">
        <v>36</v>
      </c>
      <c r="I49" t="s">
        <v>23</v>
      </c>
      <c r="J49" t="s">
        <v>24</v>
      </c>
      <c r="K49" t="s">
        <v>25</v>
      </c>
      <c r="L49" t="s">
        <v>26</v>
      </c>
      <c r="M49" t="s">
        <v>27</v>
      </c>
      <c r="N49" t="s">
        <v>25</v>
      </c>
      <c r="O49" t="s">
        <v>28</v>
      </c>
      <c r="P49" t="s">
        <v>29</v>
      </c>
      <c r="Q49">
        <v>0</v>
      </c>
      <c r="R49" t="s">
        <v>30</v>
      </c>
      <c r="S49">
        <v>999</v>
      </c>
      <c r="T49">
        <v>999</v>
      </c>
      <c r="U49">
        <v>999</v>
      </c>
      <c r="V49">
        <v>999</v>
      </c>
      <c r="W49">
        <v>999</v>
      </c>
    </row>
    <row r="50" spans="1:23" x14ac:dyDescent="0.3">
      <c r="A50">
        <v>108686</v>
      </c>
      <c r="B50" t="str">
        <f>CONCATENATE(Table1[[#This Row],[Fname]]," ",Table1[[#This Row],[Lname]])</f>
        <v>Alexa Lee</v>
      </c>
      <c r="C50" t="str">
        <f>CONCATENATE(Table1[[#This Row],[Sex]],"-",Table1[[#This Row],[Column3]])</f>
        <v>F-u12</v>
      </c>
      <c r="D50" t="s">
        <v>229</v>
      </c>
      <c r="E50" t="s">
        <v>124</v>
      </c>
      <c r="F50">
        <v>2014</v>
      </c>
      <c r="G50" t="str">
        <f>_xlfn.XLOOKUP(Table1[[#This Row],[YOB]],Table2[YOB],Table2[Category])</f>
        <v>u12</v>
      </c>
      <c r="H50" t="s">
        <v>36</v>
      </c>
      <c r="I50" t="s">
        <v>23</v>
      </c>
      <c r="J50" t="s">
        <v>24</v>
      </c>
      <c r="K50" t="s">
        <v>25</v>
      </c>
      <c r="L50" t="s">
        <v>26</v>
      </c>
      <c r="M50" t="s">
        <v>27</v>
      </c>
      <c r="N50" t="s">
        <v>25</v>
      </c>
      <c r="O50" t="s">
        <v>37</v>
      </c>
      <c r="P50" t="s">
        <v>38</v>
      </c>
      <c r="Q50">
        <v>1</v>
      </c>
      <c r="R50" t="s">
        <v>905</v>
      </c>
      <c r="S50">
        <v>999</v>
      </c>
      <c r="T50">
        <v>999</v>
      </c>
      <c r="U50">
        <v>999</v>
      </c>
      <c r="V50">
        <v>999</v>
      </c>
      <c r="W50">
        <v>999</v>
      </c>
    </row>
    <row r="51" spans="1:23" x14ac:dyDescent="0.3">
      <c r="A51">
        <v>114606</v>
      </c>
      <c r="B51" t="str">
        <f>CONCATENATE(Table1[[#This Row],[Fname]]," ",Table1[[#This Row],[Lname]])</f>
        <v>Julia MacDonald</v>
      </c>
      <c r="C51" t="str">
        <f>CONCATENATE(Table1[[#This Row],[Sex]],"-",Table1[[#This Row],[Column3]])</f>
        <v>F-u12</v>
      </c>
      <c r="D51" t="s">
        <v>128</v>
      </c>
      <c r="E51" t="s">
        <v>129</v>
      </c>
      <c r="F51">
        <v>2015</v>
      </c>
      <c r="G51" t="str">
        <f>_xlfn.XLOOKUP(Table1[[#This Row],[YOB]],Table2[YOB],Table2[Category])</f>
        <v>u12</v>
      </c>
      <c r="H51" t="s">
        <v>36</v>
      </c>
      <c r="I51" t="s">
        <v>23</v>
      </c>
      <c r="J51" t="s">
        <v>24</v>
      </c>
      <c r="K51" t="s">
        <v>25</v>
      </c>
      <c r="L51" t="s">
        <v>26</v>
      </c>
      <c r="M51" t="s">
        <v>27</v>
      </c>
      <c r="N51" t="s">
        <v>25</v>
      </c>
      <c r="O51" t="s">
        <v>32</v>
      </c>
      <c r="P51" t="s">
        <v>33</v>
      </c>
      <c r="Q51">
        <v>0</v>
      </c>
      <c r="R51" t="s">
        <v>30</v>
      </c>
      <c r="S51">
        <v>999</v>
      </c>
      <c r="T51">
        <v>999</v>
      </c>
      <c r="U51">
        <v>999</v>
      </c>
      <c r="V51">
        <v>999</v>
      </c>
      <c r="W51">
        <v>999</v>
      </c>
    </row>
    <row r="52" spans="1:23" x14ac:dyDescent="0.3">
      <c r="A52">
        <v>126994</v>
      </c>
      <c r="B52" t="str">
        <f>CONCATENATE(Table1[[#This Row],[Fname]]," ",Table1[[#This Row],[Lname]])</f>
        <v>Adelyn Richardson</v>
      </c>
      <c r="C52" t="str">
        <f>CONCATENATE(Table1[[#This Row],[Sex]],"-",Table1[[#This Row],[Column3]])</f>
        <v>F-u12</v>
      </c>
      <c r="D52" t="s">
        <v>172</v>
      </c>
      <c r="E52" t="s">
        <v>173</v>
      </c>
      <c r="F52">
        <v>2015</v>
      </c>
      <c r="G52" t="str">
        <f>_xlfn.XLOOKUP(Table1[[#This Row],[YOB]],Table2[YOB],Table2[Category])</f>
        <v>u12</v>
      </c>
      <c r="H52" t="s">
        <v>36</v>
      </c>
      <c r="I52" t="s">
        <v>23</v>
      </c>
      <c r="J52" t="s">
        <v>24</v>
      </c>
      <c r="K52" t="s">
        <v>25</v>
      </c>
      <c r="L52" t="s">
        <v>26</v>
      </c>
      <c r="M52" t="s">
        <v>27</v>
      </c>
      <c r="N52" t="s">
        <v>25</v>
      </c>
      <c r="O52" t="s">
        <v>32</v>
      </c>
      <c r="P52" t="s">
        <v>33</v>
      </c>
      <c r="Q52">
        <v>0</v>
      </c>
      <c r="R52" t="s">
        <v>30</v>
      </c>
      <c r="S52">
        <v>999</v>
      </c>
      <c r="T52">
        <v>999</v>
      </c>
      <c r="U52">
        <v>999</v>
      </c>
      <c r="V52">
        <v>999</v>
      </c>
      <c r="W52">
        <v>999</v>
      </c>
    </row>
    <row r="53" spans="1:23" x14ac:dyDescent="0.3">
      <c r="A53">
        <v>112415</v>
      </c>
      <c r="B53" t="str">
        <f>CONCATENATE(Table1[[#This Row],[Fname]]," ",Table1[[#This Row],[Lname]])</f>
        <v>Elliot Riley</v>
      </c>
      <c r="C53" t="str">
        <f>CONCATENATE(Table1[[#This Row],[Sex]],"-",Table1[[#This Row],[Column3]])</f>
        <v>F-u12</v>
      </c>
      <c r="D53" t="s">
        <v>179</v>
      </c>
      <c r="E53" t="s">
        <v>178</v>
      </c>
      <c r="F53">
        <v>2015</v>
      </c>
      <c r="G53" t="str">
        <f>_xlfn.XLOOKUP(Table1[[#This Row],[YOB]],Table2[YOB],Table2[Category])</f>
        <v>u12</v>
      </c>
      <c r="H53" t="s">
        <v>36</v>
      </c>
      <c r="I53" t="s">
        <v>23</v>
      </c>
      <c r="J53" t="s">
        <v>24</v>
      </c>
      <c r="K53" t="s">
        <v>25</v>
      </c>
      <c r="L53" t="s">
        <v>26</v>
      </c>
      <c r="M53" t="s">
        <v>27</v>
      </c>
      <c r="N53" t="s">
        <v>25</v>
      </c>
      <c r="O53" t="s">
        <v>28</v>
      </c>
      <c r="P53" t="s">
        <v>29</v>
      </c>
      <c r="Q53">
        <v>0</v>
      </c>
      <c r="R53" t="s">
        <v>30</v>
      </c>
      <c r="S53">
        <v>999</v>
      </c>
      <c r="T53">
        <v>999</v>
      </c>
      <c r="U53">
        <v>999</v>
      </c>
      <c r="V53">
        <v>999</v>
      </c>
      <c r="W53">
        <v>999</v>
      </c>
    </row>
    <row r="54" spans="1:23" x14ac:dyDescent="0.3">
      <c r="A54">
        <v>124822</v>
      </c>
      <c r="B54" t="str">
        <f>CONCATENATE(Table1[[#This Row],[Fname]]," ",Table1[[#This Row],[Lname]])</f>
        <v>Anita Ryan</v>
      </c>
      <c r="C54" t="str">
        <f>CONCATENATE(Table1[[#This Row],[Sex]],"-",Table1[[#This Row],[Column3]])</f>
        <v>F-u12</v>
      </c>
      <c r="D54" t="s">
        <v>184</v>
      </c>
      <c r="E54" t="s">
        <v>185</v>
      </c>
      <c r="F54">
        <v>2014</v>
      </c>
      <c r="G54" t="str">
        <f>_xlfn.XLOOKUP(Table1[[#This Row],[YOB]],Table2[YOB],Table2[Category])</f>
        <v>u12</v>
      </c>
      <c r="H54" t="s">
        <v>36</v>
      </c>
      <c r="I54" t="s">
        <v>23</v>
      </c>
      <c r="J54" t="s">
        <v>24</v>
      </c>
      <c r="K54" t="s">
        <v>25</v>
      </c>
      <c r="L54" t="s">
        <v>26</v>
      </c>
      <c r="M54" t="s">
        <v>27</v>
      </c>
      <c r="N54" t="s">
        <v>25</v>
      </c>
      <c r="O54" t="s">
        <v>32</v>
      </c>
      <c r="P54" t="s">
        <v>33</v>
      </c>
      <c r="Q54">
        <v>0</v>
      </c>
      <c r="R54" t="s">
        <v>30</v>
      </c>
      <c r="S54">
        <v>999</v>
      </c>
      <c r="T54">
        <v>999</v>
      </c>
      <c r="U54">
        <v>999</v>
      </c>
      <c r="V54">
        <v>999</v>
      </c>
      <c r="W54">
        <v>999</v>
      </c>
    </row>
    <row r="55" spans="1:23" x14ac:dyDescent="0.3">
      <c r="A55">
        <v>111248</v>
      </c>
      <c r="B55" t="str">
        <f>CONCATENATE(Table1[[#This Row],[Fname]]," ",Table1[[#This Row],[Lname]])</f>
        <v>Chloé Daigle</v>
      </c>
      <c r="C55" t="str">
        <f>CONCATENATE(Table1[[#This Row],[Sex]],"-",Table1[[#This Row],[Column3]])</f>
        <v>F-u12</v>
      </c>
      <c r="D55" t="s">
        <v>232</v>
      </c>
      <c r="E55" t="s">
        <v>230</v>
      </c>
      <c r="F55">
        <v>2015</v>
      </c>
      <c r="G55" t="str">
        <f>_xlfn.XLOOKUP(Table1[[#This Row],[YOB]],Table2[YOB],Table2[Category])</f>
        <v>u12</v>
      </c>
      <c r="H55" t="s">
        <v>36</v>
      </c>
      <c r="I55" t="s">
        <v>222</v>
      </c>
      <c r="J55" t="s">
        <v>223</v>
      </c>
      <c r="K55" t="s">
        <v>25</v>
      </c>
      <c r="L55" t="s">
        <v>26</v>
      </c>
      <c r="M55" t="s">
        <v>27</v>
      </c>
      <c r="N55" t="s">
        <v>25</v>
      </c>
      <c r="O55" t="s">
        <v>32</v>
      </c>
      <c r="P55" t="s">
        <v>33</v>
      </c>
      <c r="Q55">
        <v>0</v>
      </c>
      <c r="R55" t="s">
        <v>30</v>
      </c>
      <c r="S55">
        <v>999</v>
      </c>
      <c r="T55">
        <v>999</v>
      </c>
      <c r="U55">
        <v>999</v>
      </c>
      <c r="V55">
        <v>999</v>
      </c>
      <c r="W55">
        <v>999</v>
      </c>
    </row>
    <row r="56" spans="1:23" x14ac:dyDescent="0.3">
      <c r="A56">
        <v>107911</v>
      </c>
      <c r="B56" t="str">
        <f>CONCATENATE(Table1[[#This Row],[Fname]]," ",Table1[[#This Row],[Lname]])</f>
        <v>Jolyk Therrien</v>
      </c>
      <c r="C56" t="str">
        <f>CONCATENATE(Table1[[#This Row],[Sex]],"-",Table1[[#This Row],[Column3]])</f>
        <v>F-u12</v>
      </c>
      <c r="D56" t="s">
        <v>663</v>
      </c>
      <c r="E56" t="s">
        <v>253</v>
      </c>
      <c r="F56">
        <v>2015</v>
      </c>
      <c r="G56" t="str">
        <f>_xlfn.XLOOKUP(Table1[[#This Row],[YOB]],Table2[YOB],Table2[Category])</f>
        <v>u12</v>
      </c>
      <c r="H56" t="s">
        <v>36</v>
      </c>
      <c r="I56" t="s">
        <v>222</v>
      </c>
      <c r="J56" t="s">
        <v>223</v>
      </c>
      <c r="K56" t="s">
        <v>25</v>
      </c>
      <c r="L56" t="s">
        <v>26</v>
      </c>
      <c r="M56" t="s">
        <v>27</v>
      </c>
      <c r="N56" t="s">
        <v>25</v>
      </c>
      <c r="O56" t="s">
        <v>32</v>
      </c>
      <c r="P56" t="s">
        <v>33</v>
      </c>
      <c r="Q56">
        <v>0</v>
      </c>
      <c r="R56" t="s">
        <v>30</v>
      </c>
      <c r="S56">
        <v>999</v>
      </c>
      <c r="T56">
        <v>999</v>
      </c>
      <c r="U56">
        <v>999</v>
      </c>
      <c r="V56">
        <v>999</v>
      </c>
      <c r="W56">
        <v>999</v>
      </c>
    </row>
    <row r="57" spans="1:23" x14ac:dyDescent="0.3">
      <c r="A57">
        <v>117955</v>
      </c>
      <c r="B57" t="str">
        <f>CONCATENATE(Table1[[#This Row],[Fname]]," ",Table1[[#This Row],[Lname]])</f>
        <v>Evelyn Beairsto</v>
      </c>
      <c r="C57" t="str">
        <f>CONCATENATE(Table1[[#This Row],[Sex]],"-",Table1[[#This Row],[Column3]])</f>
        <v>F-u14</v>
      </c>
      <c r="D57" t="s">
        <v>260</v>
      </c>
      <c r="E57" t="s">
        <v>261</v>
      </c>
      <c r="F57">
        <v>2013</v>
      </c>
      <c r="G57" t="str">
        <f>_xlfn.XLOOKUP(Table1[[#This Row],[YOB]],Table2[YOB],Table2[Category])</f>
        <v>u14</v>
      </c>
      <c r="H57" t="s">
        <v>36</v>
      </c>
      <c r="I57" t="s">
        <v>256</v>
      </c>
      <c r="J57" t="s">
        <v>257</v>
      </c>
      <c r="K57" t="s">
        <v>25</v>
      </c>
      <c r="L57" t="s">
        <v>26</v>
      </c>
      <c r="M57" t="s">
        <v>27</v>
      </c>
      <c r="N57" t="s">
        <v>25</v>
      </c>
      <c r="O57" t="s">
        <v>37</v>
      </c>
      <c r="P57" t="s">
        <v>38</v>
      </c>
      <c r="Q57">
        <v>1</v>
      </c>
      <c r="R57" t="s">
        <v>905</v>
      </c>
      <c r="S57">
        <v>901.88</v>
      </c>
      <c r="T57">
        <v>843.99</v>
      </c>
      <c r="U57">
        <v>999</v>
      </c>
      <c r="V57">
        <v>999</v>
      </c>
      <c r="W57">
        <v>999</v>
      </c>
    </row>
    <row r="58" spans="1:23" x14ac:dyDescent="0.3">
      <c r="A58">
        <v>121965</v>
      </c>
      <c r="B58" t="str">
        <f>CONCATENATE(Table1[[#This Row],[Fname]]," ",Table1[[#This Row],[Lname]])</f>
        <v>Lucy Bergin</v>
      </c>
      <c r="C58" t="str">
        <f>CONCATENATE(Table1[[#This Row],[Sex]],"-",Table1[[#This Row],[Column3]])</f>
        <v>F-u14</v>
      </c>
      <c r="D58" t="s">
        <v>266</v>
      </c>
      <c r="E58" t="s">
        <v>267</v>
      </c>
      <c r="F58">
        <v>2013</v>
      </c>
      <c r="G58" t="str">
        <f>_xlfn.XLOOKUP(Table1[[#This Row],[YOB]],Table2[YOB],Table2[Category])</f>
        <v>u14</v>
      </c>
      <c r="H58" t="s">
        <v>36</v>
      </c>
      <c r="I58" t="s">
        <v>256</v>
      </c>
      <c r="J58" t="s">
        <v>257</v>
      </c>
      <c r="K58" t="s">
        <v>25</v>
      </c>
      <c r="L58" t="s">
        <v>26</v>
      </c>
      <c r="M58" t="s">
        <v>27</v>
      </c>
      <c r="N58" t="s">
        <v>25</v>
      </c>
      <c r="O58" t="s">
        <v>37</v>
      </c>
      <c r="P58" t="s">
        <v>38</v>
      </c>
      <c r="Q58">
        <v>1</v>
      </c>
      <c r="R58" t="s">
        <v>905</v>
      </c>
      <c r="S58">
        <v>544.04999999999995</v>
      </c>
      <c r="T58">
        <v>777.74</v>
      </c>
      <c r="U58">
        <v>839.39</v>
      </c>
      <c r="V58">
        <v>999</v>
      </c>
      <c r="W58">
        <v>999</v>
      </c>
    </row>
    <row r="59" spans="1:23" x14ac:dyDescent="0.3">
      <c r="A59">
        <v>117000</v>
      </c>
      <c r="B59" t="str">
        <f>CONCATENATE(Table1[[#This Row],[Fname]]," ",Table1[[#This Row],[Lname]])</f>
        <v>Grace Coady</v>
      </c>
      <c r="C59" t="str">
        <f>CONCATENATE(Table1[[#This Row],[Sex]],"-",Table1[[#This Row],[Column3]])</f>
        <v>F-u14</v>
      </c>
      <c r="D59" t="s">
        <v>171</v>
      </c>
      <c r="E59" t="s">
        <v>272</v>
      </c>
      <c r="F59">
        <v>2012</v>
      </c>
      <c r="G59" t="str">
        <f>_xlfn.XLOOKUP(Table1[[#This Row],[YOB]],Table2[YOB],Table2[Category])</f>
        <v>u14</v>
      </c>
      <c r="H59" t="s">
        <v>36</v>
      </c>
      <c r="I59" t="s">
        <v>256</v>
      </c>
      <c r="J59" t="s">
        <v>257</v>
      </c>
      <c r="K59" t="s">
        <v>25</v>
      </c>
      <c r="L59" t="s">
        <v>26</v>
      </c>
      <c r="M59" t="s">
        <v>27</v>
      </c>
      <c r="N59" t="s">
        <v>25</v>
      </c>
      <c r="O59" t="s">
        <v>37</v>
      </c>
      <c r="P59" t="s">
        <v>38</v>
      </c>
      <c r="Q59">
        <v>1</v>
      </c>
      <c r="R59" t="s">
        <v>905</v>
      </c>
      <c r="S59">
        <v>633.84</v>
      </c>
      <c r="T59">
        <v>650.59</v>
      </c>
      <c r="U59">
        <v>745.62</v>
      </c>
      <c r="V59">
        <v>999</v>
      </c>
      <c r="W59">
        <v>999</v>
      </c>
    </row>
    <row r="60" spans="1:23" x14ac:dyDescent="0.3">
      <c r="A60">
        <v>107308</v>
      </c>
      <c r="B60" t="str">
        <f>CONCATENATE(Table1[[#This Row],[Fname]]," ",Table1[[#This Row],[Lname]])</f>
        <v>Ella Cyr</v>
      </c>
      <c r="C60" t="str">
        <f>CONCATENATE(Table1[[#This Row],[Sex]],"-",Table1[[#This Row],[Column3]])</f>
        <v>F-u14</v>
      </c>
      <c r="D60" t="s">
        <v>112</v>
      </c>
      <c r="E60" t="s">
        <v>275</v>
      </c>
      <c r="F60">
        <v>2013</v>
      </c>
      <c r="G60" t="str">
        <f>_xlfn.XLOOKUP(Table1[[#This Row],[YOB]],Table2[YOB],Table2[Category])</f>
        <v>u14</v>
      </c>
      <c r="H60" t="s">
        <v>36</v>
      </c>
      <c r="I60" t="s">
        <v>256</v>
      </c>
      <c r="J60" t="s">
        <v>257</v>
      </c>
      <c r="K60" t="s">
        <v>25</v>
      </c>
      <c r="L60" t="s">
        <v>26</v>
      </c>
      <c r="M60" t="s">
        <v>27</v>
      </c>
      <c r="N60" t="s">
        <v>25</v>
      </c>
      <c r="O60" t="s">
        <v>37</v>
      </c>
      <c r="P60" t="s">
        <v>38</v>
      </c>
      <c r="Q60">
        <v>1</v>
      </c>
      <c r="R60" t="s">
        <v>905</v>
      </c>
      <c r="S60">
        <v>524.5</v>
      </c>
      <c r="T60">
        <v>555.78</v>
      </c>
      <c r="U60">
        <v>999</v>
      </c>
      <c r="V60">
        <v>999</v>
      </c>
      <c r="W60">
        <v>999</v>
      </c>
    </row>
    <row r="61" spans="1:23" x14ac:dyDescent="0.3">
      <c r="A61">
        <v>102713</v>
      </c>
      <c r="B61" t="str">
        <f>CONCATENATE(Table1[[#This Row],[Fname]]," ",Table1[[#This Row],[Lname]])</f>
        <v>Talja de Jong</v>
      </c>
      <c r="C61" t="str">
        <f>CONCATENATE(Table1[[#This Row],[Sex]],"-",Table1[[#This Row],[Column3]])</f>
        <v>F-u14</v>
      </c>
      <c r="D61" t="s">
        <v>276</v>
      </c>
      <c r="E61" t="s">
        <v>277</v>
      </c>
      <c r="F61">
        <v>2012</v>
      </c>
      <c r="G61" t="str">
        <f>_xlfn.XLOOKUP(Table1[[#This Row],[YOB]],Table2[YOB],Table2[Category])</f>
        <v>u14</v>
      </c>
      <c r="H61" t="s">
        <v>36</v>
      </c>
      <c r="I61" t="s">
        <v>256</v>
      </c>
      <c r="J61" t="s">
        <v>257</v>
      </c>
      <c r="K61" t="s">
        <v>25</v>
      </c>
      <c r="L61" t="s">
        <v>26</v>
      </c>
      <c r="M61" t="s">
        <v>27</v>
      </c>
      <c r="N61" t="s">
        <v>25</v>
      </c>
      <c r="O61" t="s">
        <v>37</v>
      </c>
      <c r="P61" t="s">
        <v>38</v>
      </c>
      <c r="Q61">
        <v>1</v>
      </c>
      <c r="R61" t="s">
        <v>905</v>
      </c>
      <c r="S61">
        <v>431.05</v>
      </c>
      <c r="T61">
        <v>431.66</v>
      </c>
      <c r="U61">
        <v>573.07000000000005</v>
      </c>
      <c r="V61">
        <v>999</v>
      </c>
      <c r="W61">
        <v>999</v>
      </c>
    </row>
    <row r="62" spans="1:23" x14ac:dyDescent="0.3">
      <c r="A62">
        <v>107310</v>
      </c>
      <c r="B62" t="str">
        <f>CONCATENATE(Table1[[#This Row],[Fname]]," ",Table1[[#This Row],[Lname]])</f>
        <v>Claire Fox</v>
      </c>
      <c r="C62" t="str">
        <f>CONCATENATE(Table1[[#This Row],[Sex]],"-",Table1[[#This Row],[Column3]])</f>
        <v>F-u14</v>
      </c>
      <c r="D62" t="s">
        <v>177</v>
      </c>
      <c r="E62" t="s">
        <v>286</v>
      </c>
      <c r="F62">
        <v>2013</v>
      </c>
      <c r="G62" t="str">
        <f>_xlfn.XLOOKUP(Table1[[#This Row],[YOB]],Table2[YOB],Table2[Category])</f>
        <v>u14</v>
      </c>
      <c r="H62" t="s">
        <v>36</v>
      </c>
      <c r="I62" t="s">
        <v>256</v>
      </c>
      <c r="J62" t="s">
        <v>257</v>
      </c>
      <c r="K62" t="s">
        <v>25</v>
      </c>
      <c r="L62" t="s">
        <v>26</v>
      </c>
      <c r="M62" t="s">
        <v>27</v>
      </c>
      <c r="N62" t="s">
        <v>25</v>
      </c>
      <c r="O62" t="s">
        <v>37</v>
      </c>
      <c r="P62" t="s">
        <v>38</v>
      </c>
      <c r="Q62">
        <v>1</v>
      </c>
      <c r="R62" t="s">
        <v>905</v>
      </c>
      <c r="S62">
        <v>760.48</v>
      </c>
      <c r="T62">
        <v>819.67</v>
      </c>
      <c r="U62">
        <v>999</v>
      </c>
      <c r="V62">
        <v>999</v>
      </c>
      <c r="W62">
        <v>999</v>
      </c>
    </row>
    <row r="63" spans="1:23" x14ac:dyDescent="0.3">
      <c r="A63">
        <v>107311</v>
      </c>
      <c r="B63" t="str">
        <f>CONCATENATE(Table1[[#This Row],[Fname]]," ",Table1[[#This Row],[Lname]])</f>
        <v>Leah Fox</v>
      </c>
      <c r="C63" t="str">
        <f>CONCATENATE(Table1[[#This Row],[Sex]],"-",Table1[[#This Row],[Column3]])</f>
        <v>F-u14</v>
      </c>
      <c r="D63" t="s">
        <v>287</v>
      </c>
      <c r="E63" t="s">
        <v>286</v>
      </c>
      <c r="F63">
        <v>2012</v>
      </c>
      <c r="G63" t="str">
        <f>_xlfn.XLOOKUP(Table1[[#This Row],[YOB]],Table2[YOB],Table2[Category])</f>
        <v>u14</v>
      </c>
      <c r="H63" t="s">
        <v>36</v>
      </c>
      <c r="I63" t="s">
        <v>256</v>
      </c>
      <c r="J63" t="s">
        <v>257</v>
      </c>
      <c r="K63" t="s">
        <v>25</v>
      </c>
      <c r="L63" t="s">
        <v>26</v>
      </c>
      <c r="M63" t="s">
        <v>27</v>
      </c>
      <c r="N63" t="s">
        <v>25</v>
      </c>
      <c r="O63" t="s">
        <v>37</v>
      </c>
      <c r="P63" t="s">
        <v>38</v>
      </c>
      <c r="Q63">
        <v>1</v>
      </c>
      <c r="R63" t="s">
        <v>905</v>
      </c>
      <c r="S63">
        <v>426.39</v>
      </c>
      <c r="T63">
        <v>461.15</v>
      </c>
      <c r="U63">
        <v>593.92999999999995</v>
      </c>
      <c r="V63">
        <v>999</v>
      </c>
      <c r="W63">
        <v>999</v>
      </c>
    </row>
    <row r="64" spans="1:23" x14ac:dyDescent="0.3">
      <c r="A64">
        <v>118512</v>
      </c>
      <c r="B64" t="str">
        <f>CONCATENATE(Table1[[#This Row],[Fname]]," ",Table1[[#This Row],[Lname]])</f>
        <v>Seren Pembridge</v>
      </c>
      <c r="C64" t="str">
        <f>CONCATENATE(Table1[[#This Row],[Sex]],"-",Table1[[#This Row],[Column3]])</f>
        <v>F-u14</v>
      </c>
      <c r="D64" t="s">
        <v>328</v>
      </c>
      <c r="E64" t="s">
        <v>326</v>
      </c>
      <c r="F64">
        <v>2013</v>
      </c>
      <c r="G64" t="str">
        <f>_xlfn.XLOOKUP(Table1[[#This Row],[YOB]],Table2[YOB],Table2[Category])</f>
        <v>u14</v>
      </c>
      <c r="H64" t="s">
        <v>36</v>
      </c>
      <c r="I64" t="s">
        <v>256</v>
      </c>
      <c r="J64" t="s">
        <v>257</v>
      </c>
      <c r="K64" t="s">
        <v>25</v>
      </c>
      <c r="L64" t="s">
        <v>26</v>
      </c>
      <c r="M64" t="s">
        <v>27</v>
      </c>
      <c r="N64" t="s">
        <v>25</v>
      </c>
      <c r="O64" t="s">
        <v>37</v>
      </c>
      <c r="P64" t="s">
        <v>38</v>
      </c>
      <c r="Q64">
        <v>1</v>
      </c>
      <c r="R64" t="s">
        <v>905</v>
      </c>
      <c r="S64">
        <v>508.53</v>
      </c>
      <c r="T64">
        <v>465.47</v>
      </c>
      <c r="U64">
        <v>625.67999999999995</v>
      </c>
      <c r="V64">
        <v>999</v>
      </c>
      <c r="W64">
        <v>999</v>
      </c>
    </row>
    <row r="65" spans="1:23" x14ac:dyDescent="0.3">
      <c r="A65">
        <v>117693</v>
      </c>
      <c r="B65" t="str">
        <f>CONCATENATE(Table1[[#This Row],[Fname]]," ",Table1[[#This Row],[Lname]])</f>
        <v>Addison Russon</v>
      </c>
      <c r="C65" t="str">
        <f>CONCATENATE(Table1[[#This Row],[Sex]],"-",Table1[[#This Row],[Column3]])</f>
        <v>F-u14</v>
      </c>
      <c r="D65" t="s">
        <v>335</v>
      </c>
      <c r="E65" t="s">
        <v>336</v>
      </c>
      <c r="F65">
        <v>2013</v>
      </c>
      <c r="G65" t="str">
        <f>_xlfn.XLOOKUP(Table1[[#This Row],[YOB]],Table2[YOB],Table2[Category])</f>
        <v>u14</v>
      </c>
      <c r="H65" t="s">
        <v>36</v>
      </c>
      <c r="I65" t="s">
        <v>256</v>
      </c>
      <c r="J65" t="s">
        <v>257</v>
      </c>
      <c r="K65" t="s">
        <v>25</v>
      </c>
      <c r="L65" t="s">
        <v>26</v>
      </c>
      <c r="M65" t="s">
        <v>27</v>
      </c>
      <c r="N65" t="s">
        <v>25</v>
      </c>
      <c r="O65" t="s">
        <v>37</v>
      </c>
      <c r="P65" t="s">
        <v>38</v>
      </c>
      <c r="Q65">
        <v>1</v>
      </c>
      <c r="R65" t="s">
        <v>905</v>
      </c>
      <c r="S65">
        <v>422.49</v>
      </c>
      <c r="T65">
        <v>438.85</v>
      </c>
      <c r="U65">
        <v>560.96</v>
      </c>
      <c r="V65">
        <v>999</v>
      </c>
      <c r="W65">
        <v>999</v>
      </c>
    </row>
    <row r="66" spans="1:23" x14ac:dyDescent="0.3">
      <c r="A66">
        <v>112516</v>
      </c>
      <c r="B66" t="str">
        <f>CONCATENATE(Table1[[#This Row],[Fname]]," ",Table1[[#This Row],[Lname]])</f>
        <v>Charlie White</v>
      </c>
      <c r="C66" t="str">
        <f>CONCATENATE(Table1[[#This Row],[Sex]],"-",Table1[[#This Row],[Column3]])</f>
        <v>F-u14</v>
      </c>
      <c r="D66" t="s">
        <v>353</v>
      </c>
      <c r="E66" t="s">
        <v>214</v>
      </c>
      <c r="F66">
        <v>2013</v>
      </c>
      <c r="G66" t="str">
        <f>_xlfn.XLOOKUP(Table1[[#This Row],[YOB]],Table2[YOB],Table2[Category])</f>
        <v>u14</v>
      </c>
      <c r="H66" t="s">
        <v>36</v>
      </c>
      <c r="I66" t="s">
        <v>256</v>
      </c>
      <c r="J66" t="s">
        <v>257</v>
      </c>
      <c r="K66" t="s">
        <v>25</v>
      </c>
      <c r="L66" t="s">
        <v>26</v>
      </c>
      <c r="M66" t="s">
        <v>27</v>
      </c>
      <c r="N66" t="s">
        <v>25</v>
      </c>
      <c r="O66" t="s">
        <v>37</v>
      </c>
      <c r="P66" t="s">
        <v>38</v>
      </c>
      <c r="Q66">
        <v>1</v>
      </c>
      <c r="R66" t="s">
        <v>905</v>
      </c>
      <c r="S66">
        <v>423.92</v>
      </c>
      <c r="T66">
        <v>496.92</v>
      </c>
      <c r="U66">
        <v>618.67999999999995</v>
      </c>
      <c r="V66">
        <v>999</v>
      </c>
      <c r="W66">
        <v>999</v>
      </c>
    </row>
    <row r="67" spans="1:23" x14ac:dyDescent="0.3">
      <c r="A67">
        <v>93740</v>
      </c>
      <c r="B67" t="str">
        <f>CONCATENATE(Table1[[#This Row],[Fname]]," ",Table1[[#This Row],[Lname]])</f>
        <v>Charlotte Bazin</v>
      </c>
      <c r="C67" t="str">
        <f>CONCATENATE(Table1[[#This Row],[Sex]],"-",Table1[[#This Row],[Column3]])</f>
        <v>F-u14</v>
      </c>
      <c r="D67" t="s">
        <v>45</v>
      </c>
      <c r="E67" t="s">
        <v>46</v>
      </c>
      <c r="F67">
        <v>2012</v>
      </c>
      <c r="G67" t="str">
        <f>_xlfn.XLOOKUP(Table1[[#This Row],[YOB]],Table2[YOB],Table2[Category])</f>
        <v>u14</v>
      </c>
      <c r="H67" t="s">
        <v>36</v>
      </c>
      <c r="I67" t="s">
        <v>23</v>
      </c>
      <c r="J67" t="s">
        <v>24</v>
      </c>
      <c r="K67" t="s">
        <v>25</v>
      </c>
      <c r="L67" t="s">
        <v>26</v>
      </c>
      <c r="M67" t="s">
        <v>27</v>
      </c>
      <c r="N67" t="s">
        <v>25</v>
      </c>
      <c r="O67" t="s">
        <v>37</v>
      </c>
      <c r="P67" t="s">
        <v>38</v>
      </c>
      <c r="Q67">
        <v>1</v>
      </c>
      <c r="R67" t="s">
        <v>905</v>
      </c>
      <c r="S67">
        <v>354.61</v>
      </c>
      <c r="T67">
        <v>382.15</v>
      </c>
      <c r="U67">
        <v>528.73</v>
      </c>
      <c r="V67">
        <v>999</v>
      </c>
      <c r="W67">
        <v>999</v>
      </c>
    </row>
    <row r="68" spans="1:23" x14ac:dyDescent="0.3">
      <c r="A68">
        <v>102772</v>
      </c>
      <c r="B68" t="str">
        <f>CONCATENATE(Table1[[#This Row],[Fname]]," ",Table1[[#This Row],[Lname]])</f>
        <v>Robin Ellis</v>
      </c>
      <c r="C68" t="str">
        <f>CONCATENATE(Table1[[#This Row],[Sex]],"-",Table1[[#This Row],[Column3]])</f>
        <v>F-u14</v>
      </c>
      <c r="D68" t="s">
        <v>79</v>
      </c>
      <c r="E68" t="s">
        <v>78</v>
      </c>
      <c r="F68">
        <v>2012</v>
      </c>
      <c r="G68" t="str">
        <f>_xlfn.XLOOKUP(Table1[[#This Row],[YOB]],Table2[YOB],Table2[Category])</f>
        <v>u14</v>
      </c>
      <c r="H68" t="s">
        <v>36</v>
      </c>
      <c r="I68" t="s">
        <v>23</v>
      </c>
      <c r="J68" t="s">
        <v>24</v>
      </c>
      <c r="K68" t="s">
        <v>25</v>
      </c>
      <c r="L68" t="s">
        <v>26</v>
      </c>
      <c r="M68" t="s">
        <v>27</v>
      </c>
      <c r="N68" t="s">
        <v>25</v>
      </c>
      <c r="O68" t="s">
        <v>37</v>
      </c>
      <c r="P68" t="s">
        <v>38</v>
      </c>
      <c r="Q68">
        <v>1</v>
      </c>
      <c r="R68" t="s">
        <v>905</v>
      </c>
      <c r="S68">
        <v>490.68</v>
      </c>
      <c r="T68">
        <v>999</v>
      </c>
      <c r="U68">
        <v>698.12</v>
      </c>
      <c r="V68">
        <v>999</v>
      </c>
      <c r="W68">
        <v>999</v>
      </c>
    </row>
    <row r="69" spans="1:23" x14ac:dyDescent="0.3">
      <c r="A69">
        <v>93755</v>
      </c>
      <c r="B69" t="str">
        <f>CONCATENATE(Table1[[#This Row],[Fname]]," ",Table1[[#This Row],[Lname]])</f>
        <v>Niaya Gaudet</v>
      </c>
      <c r="C69" t="str">
        <f>CONCATENATE(Table1[[#This Row],[Sex]],"-",Table1[[#This Row],[Column3]])</f>
        <v>F-u14</v>
      </c>
      <c r="D69" t="s">
        <v>94</v>
      </c>
      <c r="E69" t="s">
        <v>95</v>
      </c>
      <c r="F69">
        <v>2012</v>
      </c>
      <c r="G69" t="str">
        <f>_xlfn.XLOOKUP(Table1[[#This Row],[YOB]],Table2[YOB],Table2[Category])</f>
        <v>u14</v>
      </c>
      <c r="H69" t="s">
        <v>36</v>
      </c>
      <c r="I69" t="s">
        <v>23</v>
      </c>
      <c r="J69" t="s">
        <v>24</v>
      </c>
      <c r="K69" t="s">
        <v>25</v>
      </c>
      <c r="L69" t="s">
        <v>26</v>
      </c>
      <c r="M69" t="s">
        <v>27</v>
      </c>
      <c r="N69" t="s">
        <v>25</v>
      </c>
      <c r="O69" t="s">
        <v>37</v>
      </c>
      <c r="P69" t="s">
        <v>38</v>
      </c>
      <c r="Q69">
        <v>1</v>
      </c>
      <c r="R69" t="s">
        <v>905</v>
      </c>
      <c r="S69">
        <v>364.25</v>
      </c>
      <c r="T69">
        <v>426.04</v>
      </c>
      <c r="U69">
        <v>559.87</v>
      </c>
      <c r="V69">
        <v>999</v>
      </c>
      <c r="W69">
        <v>999</v>
      </c>
    </row>
    <row r="70" spans="1:23" x14ac:dyDescent="0.3">
      <c r="A70">
        <v>123271</v>
      </c>
      <c r="B70" t="str">
        <f>CONCATENATE(Table1[[#This Row],[Fname]]," ",Table1[[#This Row],[Lname]])</f>
        <v>Bella Goss</v>
      </c>
      <c r="C70" t="str">
        <f>CONCATENATE(Table1[[#This Row],[Sex]],"-",Table1[[#This Row],[Column3]])</f>
        <v>F-u14</v>
      </c>
      <c r="D70" t="s">
        <v>98</v>
      </c>
      <c r="E70" t="s">
        <v>99</v>
      </c>
      <c r="F70">
        <v>2013</v>
      </c>
      <c r="G70" t="str">
        <f>_xlfn.XLOOKUP(Table1[[#This Row],[YOB]],Table2[YOB],Table2[Category])</f>
        <v>u14</v>
      </c>
      <c r="H70" t="s">
        <v>36</v>
      </c>
      <c r="I70" t="s">
        <v>23</v>
      </c>
      <c r="J70" t="s">
        <v>24</v>
      </c>
      <c r="K70" t="s">
        <v>25</v>
      </c>
      <c r="L70" t="s">
        <v>26</v>
      </c>
      <c r="M70" t="s">
        <v>27</v>
      </c>
      <c r="N70" t="s">
        <v>25</v>
      </c>
      <c r="O70" t="s">
        <v>37</v>
      </c>
      <c r="P70" t="s">
        <v>38</v>
      </c>
      <c r="Q70">
        <v>1</v>
      </c>
      <c r="R70" t="s">
        <v>905</v>
      </c>
      <c r="S70">
        <v>999</v>
      </c>
      <c r="T70">
        <v>999</v>
      </c>
      <c r="U70">
        <v>999</v>
      </c>
      <c r="V70">
        <v>999</v>
      </c>
      <c r="W70">
        <v>999</v>
      </c>
    </row>
    <row r="71" spans="1:23" x14ac:dyDescent="0.3">
      <c r="A71">
        <v>102776</v>
      </c>
      <c r="B71" t="str">
        <f>CONCATENATE(Table1[[#This Row],[Fname]]," ",Table1[[#This Row],[Lname]])</f>
        <v>Jude MacDow</v>
      </c>
      <c r="C71" t="str">
        <f>CONCATENATE(Table1[[#This Row],[Sex]],"-",Table1[[#This Row],[Column3]])</f>
        <v>F-u14</v>
      </c>
      <c r="D71" t="s">
        <v>132</v>
      </c>
      <c r="E71" t="s">
        <v>131</v>
      </c>
      <c r="F71">
        <v>2012</v>
      </c>
      <c r="G71" t="str">
        <f>_xlfn.XLOOKUP(Table1[[#This Row],[YOB]],Table2[YOB],Table2[Category])</f>
        <v>u14</v>
      </c>
      <c r="H71" t="s">
        <v>36</v>
      </c>
      <c r="I71" t="s">
        <v>23</v>
      </c>
      <c r="J71" t="s">
        <v>24</v>
      </c>
      <c r="K71" t="s">
        <v>25</v>
      </c>
      <c r="L71" t="s">
        <v>26</v>
      </c>
      <c r="M71" t="s">
        <v>27</v>
      </c>
      <c r="N71" t="s">
        <v>25</v>
      </c>
      <c r="O71" t="s">
        <v>37</v>
      </c>
      <c r="P71" t="s">
        <v>38</v>
      </c>
      <c r="Q71">
        <v>1</v>
      </c>
      <c r="R71" t="s">
        <v>905</v>
      </c>
      <c r="S71">
        <v>402.86</v>
      </c>
      <c r="T71">
        <v>421.58</v>
      </c>
      <c r="U71">
        <v>612.73</v>
      </c>
      <c r="V71">
        <v>999</v>
      </c>
      <c r="W71">
        <v>999</v>
      </c>
    </row>
    <row r="72" spans="1:23" x14ac:dyDescent="0.3">
      <c r="A72">
        <v>102777</v>
      </c>
      <c r="B72" t="str">
        <f>CONCATENATE(Table1[[#This Row],[Fname]]," ",Table1[[#This Row],[Lname]])</f>
        <v>Layla MacDow</v>
      </c>
      <c r="C72" t="str">
        <f>CONCATENATE(Table1[[#This Row],[Sex]],"-",Table1[[#This Row],[Column3]])</f>
        <v>F-u14</v>
      </c>
      <c r="D72" t="s">
        <v>133</v>
      </c>
      <c r="E72" t="s">
        <v>131</v>
      </c>
      <c r="F72">
        <v>2012</v>
      </c>
      <c r="G72" t="str">
        <f>_xlfn.XLOOKUP(Table1[[#This Row],[YOB]],Table2[YOB],Table2[Category])</f>
        <v>u14</v>
      </c>
      <c r="H72" t="s">
        <v>36</v>
      </c>
      <c r="I72" t="s">
        <v>23</v>
      </c>
      <c r="J72" t="s">
        <v>24</v>
      </c>
      <c r="K72" t="s">
        <v>25</v>
      </c>
      <c r="L72" t="s">
        <v>26</v>
      </c>
      <c r="M72" t="s">
        <v>27</v>
      </c>
      <c r="N72" t="s">
        <v>25</v>
      </c>
      <c r="O72" t="s">
        <v>37</v>
      </c>
      <c r="P72" t="s">
        <v>38</v>
      </c>
      <c r="Q72">
        <v>1</v>
      </c>
      <c r="R72" t="s">
        <v>905</v>
      </c>
      <c r="S72">
        <v>403.47</v>
      </c>
      <c r="T72">
        <v>472.12</v>
      </c>
      <c r="U72">
        <v>643.05999999999995</v>
      </c>
      <c r="V72">
        <v>999</v>
      </c>
      <c r="W72">
        <v>999</v>
      </c>
    </row>
    <row r="73" spans="1:23" x14ac:dyDescent="0.3">
      <c r="A73">
        <v>93762</v>
      </c>
      <c r="B73" t="str">
        <f>CONCATENATE(Table1[[#This Row],[Fname]]," ",Table1[[#This Row],[Lname]])</f>
        <v>Naomi Rideout</v>
      </c>
      <c r="C73" t="str">
        <f>CONCATENATE(Table1[[#This Row],[Sex]],"-",Table1[[#This Row],[Column3]])</f>
        <v>F-u14</v>
      </c>
      <c r="D73" t="s">
        <v>175</v>
      </c>
      <c r="E73" t="s">
        <v>176</v>
      </c>
      <c r="F73">
        <v>2012</v>
      </c>
      <c r="G73" t="str">
        <f>_xlfn.XLOOKUP(Table1[[#This Row],[YOB]],Table2[YOB],Table2[Category])</f>
        <v>u14</v>
      </c>
      <c r="H73" t="s">
        <v>36</v>
      </c>
      <c r="I73" t="s">
        <v>23</v>
      </c>
      <c r="J73" t="s">
        <v>24</v>
      </c>
      <c r="K73" t="s">
        <v>25</v>
      </c>
      <c r="L73" t="s">
        <v>26</v>
      </c>
      <c r="M73" t="s">
        <v>27</v>
      </c>
      <c r="N73" t="s">
        <v>25</v>
      </c>
      <c r="O73" t="s">
        <v>37</v>
      </c>
      <c r="P73" t="s">
        <v>38</v>
      </c>
      <c r="Q73">
        <v>1</v>
      </c>
      <c r="R73" t="s">
        <v>905</v>
      </c>
      <c r="S73">
        <v>364.46</v>
      </c>
      <c r="T73">
        <v>382.24</v>
      </c>
      <c r="U73">
        <v>491.09</v>
      </c>
      <c r="V73">
        <v>999</v>
      </c>
      <c r="W73">
        <v>999</v>
      </c>
    </row>
    <row r="74" spans="1:23" x14ac:dyDescent="0.3">
      <c r="A74">
        <v>104666</v>
      </c>
      <c r="B74" t="str">
        <f>CONCATENATE(Table1[[#This Row],[Fname]]," ",Table1[[#This Row],[Lname]])</f>
        <v>Madelyn Roy</v>
      </c>
      <c r="C74" t="str">
        <f>CONCATENATE(Table1[[#This Row],[Sex]],"-",Table1[[#This Row],[Column3]])</f>
        <v>F-u14</v>
      </c>
      <c r="D74" t="s">
        <v>182</v>
      </c>
      <c r="E74" t="s">
        <v>181</v>
      </c>
      <c r="F74">
        <v>2013</v>
      </c>
      <c r="G74" t="str">
        <f>_xlfn.XLOOKUP(Table1[[#This Row],[YOB]],Table2[YOB],Table2[Category])</f>
        <v>u14</v>
      </c>
      <c r="H74" t="s">
        <v>36</v>
      </c>
      <c r="I74" t="s">
        <v>23</v>
      </c>
      <c r="J74" t="s">
        <v>24</v>
      </c>
      <c r="K74" t="s">
        <v>25</v>
      </c>
      <c r="L74" t="s">
        <v>26</v>
      </c>
      <c r="M74" t="s">
        <v>27</v>
      </c>
      <c r="N74" t="s">
        <v>25</v>
      </c>
      <c r="O74" t="s">
        <v>37</v>
      </c>
      <c r="P74" t="s">
        <v>38</v>
      </c>
      <c r="Q74">
        <v>1</v>
      </c>
      <c r="R74" t="s">
        <v>905</v>
      </c>
      <c r="S74">
        <v>439.7</v>
      </c>
      <c r="T74">
        <v>458.11</v>
      </c>
      <c r="U74">
        <v>523.37</v>
      </c>
      <c r="V74">
        <v>999</v>
      </c>
      <c r="W74">
        <v>999</v>
      </c>
    </row>
    <row r="75" spans="1:23" x14ac:dyDescent="0.3">
      <c r="A75">
        <v>126973</v>
      </c>
      <c r="B75" t="str">
        <f>CONCATENATE(Table1[[#This Row],[Fname]]," ",Table1[[#This Row],[Lname]])</f>
        <v>Carmen Sandness</v>
      </c>
      <c r="C75" t="str">
        <f>CONCATENATE(Table1[[#This Row],[Sex]],"-",Table1[[#This Row],[Column3]])</f>
        <v>F-u14</v>
      </c>
      <c r="D75" t="s">
        <v>186</v>
      </c>
      <c r="E75" t="s">
        <v>187</v>
      </c>
      <c r="F75">
        <v>2013</v>
      </c>
      <c r="G75" t="str">
        <f>_xlfn.XLOOKUP(Table1[[#This Row],[YOB]],Table2[YOB],Table2[Category])</f>
        <v>u14</v>
      </c>
      <c r="H75" t="s">
        <v>36</v>
      </c>
      <c r="I75" t="s">
        <v>23</v>
      </c>
      <c r="J75" t="s">
        <v>24</v>
      </c>
      <c r="K75" t="s">
        <v>25</v>
      </c>
      <c r="L75" t="s">
        <v>26</v>
      </c>
      <c r="M75" t="s">
        <v>27</v>
      </c>
      <c r="N75" t="s">
        <v>25</v>
      </c>
      <c r="O75" t="s">
        <v>37</v>
      </c>
      <c r="P75" t="s">
        <v>38</v>
      </c>
      <c r="Q75">
        <v>1</v>
      </c>
      <c r="R75" t="s">
        <v>905</v>
      </c>
      <c r="S75">
        <v>999</v>
      </c>
      <c r="T75">
        <v>999</v>
      </c>
      <c r="U75">
        <v>999</v>
      </c>
      <c r="V75">
        <v>999</v>
      </c>
      <c r="W75">
        <v>999</v>
      </c>
    </row>
    <row r="76" spans="1:23" x14ac:dyDescent="0.3">
      <c r="A76">
        <v>93764</v>
      </c>
      <c r="B76" t="str">
        <f>CONCATENATE(Table1[[#This Row],[Fname]]," ",Table1[[#This Row],[Lname]])</f>
        <v>Alayna Slattery</v>
      </c>
      <c r="C76" t="str">
        <f>CONCATENATE(Table1[[#This Row],[Sex]],"-",Table1[[#This Row],[Column3]])</f>
        <v>F-u14</v>
      </c>
      <c r="D76" t="s">
        <v>193</v>
      </c>
      <c r="E76" t="s">
        <v>194</v>
      </c>
      <c r="F76">
        <v>2013</v>
      </c>
      <c r="G76" t="str">
        <f>_xlfn.XLOOKUP(Table1[[#This Row],[YOB]],Table2[YOB],Table2[Category])</f>
        <v>u14</v>
      </c>
      <c r="H76" t="s">
        <v>36</v>
      </c>
      <c r="I76" t="s">
        <v>23</v>
      </c>
      <c r="J76" t="s">
        <v>24</v>
      </c>
      <c r="K76" t="s">
        <v>25</v>
      </c>
      <c r="L76" t="s">
        <v>26</v>
      </c>
      <c r="M76" t="s">
        <v>27</v>
      </c>
      <c r="N76" t="s">
        <v>25</v>
      </c>
      <c r="O76" t="s">
        <v>37</v>
      </c>
      <c r="P76" t="s">
        <v>38</v>
      </c>
      <c r="Q76">
        <v>1</v>
      </c>
      <c r="R76" t="s">
        <v>905</v>
      </c>
      <c r="S76">
        <v>385.33</v>
      </c>
      <c r="T76">
        <v>466.82</v>
      </c>
      <c r="U76">
        <v>625.1</v>
      </c>
      <c r="V76">
        <v>999</v>
      </c>
      <c r="W76">
        <v>999</v>
      </c>
    </row>
    <row r="77" spans="1:23" x14ac:dyDescent="0.3">
      <c r="A77">
        <v>102457</v>
      </c>
      <c r="B77" t="str">
        <f>CONCATENATE(Table1[[#This Row],[Fname]]," ",Table1[[#This Row],[Lname]])</f>
        <v>Emma Berube</v>
      </c>
      <c r="C77" t="str">
        <f>CONCATENATE(Table1[[#This Row],[Sex]],"-",Table1[[#This Row],[Column3]])</f>
        <v>F-u14</v>
      </c>
      <c r="D77" t="s">
        <v>220</v>
      </c>
      <c r="E77" t="s">
        <v>221</v>
      </c>
      <c r="F77">
        <v>2012</v>
      </c>
      <c r="G77" t="str">
        <f>_xlfn.XLOOKUP(Table1[[#This Row],[YOB]],Table2[YOB],Table2[Category])</f>
        <v>u14</v>
      </c>
      <c r="H77" t="s">
        <v>36</v>
      </c>
      <c r="I77" t="s">
        <v>222</v>
      </c>
      <c r="J77" t="s">
        <v>223</v>
      </c>
      <c r="K77" t="s">
        <v>25</v>
      </c>
      <c r="L77" t="s">
        <v>26</v>
      </c>
      <c r="M77" t="s">
        <v>27</v>
      </c>
      <c r="N77" t="s">
        <v>25</v>
      </c>
      <c r="O77" t="s">
        <v>37</v>
      </c>
      <c r="P77" t="s">
        <v>38</v>
      </c>
      <c r="Q77">
        <v>1</v>
      </c>
      <c r="R77" t="s">
        <v>905</v>
      </c>
      <c r="S77">
        <v>385.72</v>
      </c>
      <c r="T77">
        <v>419.08</v>
      </c>
      <c r="U77">
        <v>563.87</v>
      </c>
      <c r="V77">
        <v>999</v>
      </c>
      <c r="W77">
        <v>999</v>
      </c>
    </row>
    <row r="78" spans="1:23" x14ac:dyDescent="0.3">
      <c r="A78">
        <v>121966</v>
      </c>
      <c r="B78" t="str">
        <f>CONCATENATE(Table1[[#This Row],[Fname]]," ",Table1[[#This Row],[Lname]])</f>
        <v>Ava Burgess</v>
      </c>
      <c r="C78" t="str">
        <f>CONCATENATE(Table1[[#This Row],[Sex]],"-",Table1[[#This Row],[Column3]])</f>
        <v>F-u16</v>
      </c>
      <c r="D78" t="s">
        <v>105</v>
      </c>
      <c r="E78" t="s">
        <v>268</v>
      </c>
      <c r="F78">
        <v>2010</v>
      </c>
      <c r="G78" t="str">
        <f>_xlfn.XLOOKUP(Table1[[#This Row],[YOB]],Table2[YOB],Table2[Category])</f>
        <v>u16</v>
      </c>
      <c r="H78" t="s">
        <v>36</v>
      </c>
      <c r="I78" t="s">
        <v>256</v>
      </c>
      <c r="J78" t="s">
        <v>257</v>
      </c>
      <c r="K78" t="s">
        <v>25</v>
      </c>
      <c r="L78" t="s">
        <v>26</v>
      </c>
      <c r="M78" t="s">
        <v>27</v>
      </c>
      <c r="N78" t="s">
        <v>25</v>
      </c>
      <c r="O78" t="s">
        <v>37</v>
      </c>
      <c r="P78" t="s">
        <v>38</v>
      </c>
      <c r="Q78">
        <v>1</v>
      </c>
      <c r="R78" t="s">
        <v>905</v>
      </c>
      <c r="S78">
        <v>612.73</v>
      </c>
      <c r="T78">
        <v>612.86</v>
      </c>
      <c r="U78">
        <v>952.03</v>
      </c>
      <c r="V78">
        <v>999</v>
      </c>
      <c r="W78">
        <v>999</v>
      </c>
    </row>
    <row r="79" spans="1:23" x14ac:dyDescent="0.3">
      <c r="A79">
        <v>102723</v>
      </c>
      <c r="B79" t="str">
        <f>CONCATENATE(Table1[[#This Row],[Fname]]," ",Table1[[#This Row],[Lname]])</f>
        <v>Ariane de Passillé</v>
      </c>
      <c r="C79" t="str">
        <f>CONCATENATE(Table1[[#This Row],[Sex]],"-",Table1[[#This Row],[Column3]])</f>
        <v>F-u16</v>
      </c>
      <c r="D79" t="s">
        <v>278</v>
      </c>
      <c r="E79" t="s">
        <v>279</v>
      </c>
      <c r="F79">
        <v>2010</v>
      </c>
      <c r="G79" t="str">
        <f>_xlfn.XLOOKUP(Table1[[#This Row],[YOB]],Table2[YOB],Table2[Category])</f>
        <v>u16</v>
      </c>
      <c r="H79" t="s">
        <v>36</v>
      </c>
      <c r="I79" t="s">
        <v>256</v>
      </c>
      <c r="J79" t="s">
        <v>257</v>
      </c>
      <c r="K79" t="s">
        <v>25</v>
      </c>
      <c r="L79" t="s">
        <v>26</v>
      </c>
      <c r="M79" t="s">
        <v>27</v>
      </c>
      <c r="N79" t="s">
        <v>25</v>
      </c>
      <c r="O79" t="s">
        <v>37</v>
      </c>
      <c r="P79" t="s">
        <v>38</v>
      </c>
      <c r="Q79">
        <v>1</v>
      </c>
      <c r="R79" t="s">
        <v>905</v>
      </c>
      <c r="S79">
        <v>408.38</v>
      </c>
      <c r="T79">
        <v>416.03</v>
      </c>
      <c r="U79">
        <v>607.58000000000004</v>
      </c>
      <c r="V79">
        <v>999</v>
      </c>
      <c r="W79">
        <v>999</v>
      </c>
    </row>
    <row r="80" spans="1:23" x14ac:dyDescent="0.3">
      <c r="A80">
        <v>92169</v>
      </c>
      <c r="B80" t="str">
        <f>CONCATENATE(Table1[[#This Row],[Fname]]," ",Table1[[#This Row],[Lname]])</f>
        <v>Kate McMullen</v>
      </c>
      <c r="C80" t="str">
        <f>CONCATENATE(Table1[[#This Row],[Sex]],"-",Table1[[#This Row],[Column3]])</f>
        <v>F-u16</v>
      </c>
      <c r="D80" t="s">
        <v>301</v>
      </c>
      <c r="E80" t="s">
        <v>311</v>
      </c>
      <c r="F80">
        <v>2010</v>
      </c>
      <c r="G80" t="str">
        <f>_xlfn.XLOOKUP(Table1[[#This Row],[YOB]],Table2[YOB],Table2[Category])</f>
        <v>u16</v>
      </c>
      <c r="H80" t="s">
        <v>36</v>
      </c>
      <c r="I80" t="s">
        <v>256</v>
      </c>
      <c r="J80" t="s">
        <v>257</v>
      </c>
      <c r="K80" t="s">
        <v>25</v>
      </c>
      <c r="L80" t="s">
        <v>26</v>
      </c>
      <c r="M80" t="s">
        <v>27</v>
      </c>
      <c r="N80" t="s">
        <v>25</v>
      </c>
      <c r="O80" t="s">
        <v>37</v>
      </c>
      <c r="P80" t="s">
        <v>38</v>
      </c>
      <c r="Q80">
        <v>1</v>
      </c>
      <c r="R80" t="s">
        <v>905</v>
      </c>
      <c r="S80">
        <v>372.82</v>
      </c>
      <c r="T80">
        <v>418.14</v>
      </c>
      <c r="U80">
        <v>576.38</v>
      </c>
      <c r="V80">
        <v>999</v>
      </c>
      <c r="W80">
        <v>999</v>
      </c>
    </row>
    <row r="81" spans="1:23" x14ac:dyDescent="0.3">
      <c r="A81">
        <v>92167</v>
      </c>
      <c r="B81" t="str">
        <f>CONCATENATE(Table1[[#This Row],[Fname]]," ",Table1[[#This Row],[Lname]])</f>
        <v>Jane Phillips</v>
      </c>
      <c r="C81" t="str">
        <f>CONCATENATE(Table1[[#This Row],[Sex]],"-",Table1[[#This Row],[Column3]])</f>
        <v>F-u16</v>
      </c>
      <c r="D81" t="s">
        <v>329</v>
      </c>
      <c r="E81" t="s">
        <v>330</v>
      </c>
      <c r="F81">
        <v>2010</v>
      </c>
      <c r="G81" t="str">
        <f>_xlfn.XLOOKUP(Table1[[#This Row],[YOB]],Table2[YOB],Table2[Category])</f>
        <v>u16</v>
      </c>
      <c r="H81" t="s">
        <v>36</v>
      </c>
      <c r="I81" t="s">
        <v>256</v>
      </c>
      <c r="J81" t="s">
        <v>257</v>
      </c>
      <c r="K81" t="s">
        <v>25</v>
      </c>
      <c r="L81" t="s">
        <v>26</v>
      </c>
      <c r="M81" t="s">
        <v>27</v>
      </c>
      <c r="N81" t="s">
        <v>25</v>
      </c>
      <c r="O81" t="s">
        <v>37</v>
      </c>
      <c r="P81" t="s">
        <v>38</v>
      </c>
      <c r="Q81">
        <v>1</v>
      </c>
      <c r="R81" t="s">
        <v>905</v>
      </c>
      <c r="S81">
        <v>479.7</v>
      </c>
      <c r="T81">
        <v>449.14</v>
      </c>
      <c r="U81">
        <v>792.01</v>
      </c>
      <c r="V81">
        <v>999</v>
      </c>
      <c r="W81">
        <v>999</v>
      </c>
    </row>
    <row r="82" spans="1:23" x14ac:dyDescent="0.3">
      <c r="A82">
        <v>86727</v>
      </c>
      <c r="B82" t="str">
        <f>CONCATENATE(Table1[[#This Row],[Fname]]," ",Table1[[#This Row],[Lname]])</f>
        <v>Siena Arsenault</v>
      </c>
      <c r="C82" t="str">
        <f>CONCATENATE(Table1[[#This Row],[Sex]],"-",Table1[[#This Row],[Column3]])</f>
        <v>F-u16</v>
      </c>
      <c r="D82" t="s">
        <v>34</v>
      </c>
      <c r="E82" t="s">
        <v>35</v>
      </c>
      <c r="F82">
        <v>2010</v>
      </c>
      <c r="G82" t="str">
        <f>_xlfn.XLOOKUP(Table1[[#This Row],[YOB]],Table2[YOB],Table2[Category])</f>
        <v>u16</v>
      </c>
      <c r="H82" t="s">
        <v>36</v>
      </c>
      <c r="I82" t="s">
        <v>23</v>
      </c>
      <c r="J82" t="s">
        <v>24</v>
      </c>
      <c r="K82" t="s">
        <v>25</v>
      </c>
      <c r="L82" t="s">
        <v>26</v>
      </c>
      <c r="M82" t="s">
        <v>27</v>
      </c>
      <c r="N82" t="s">
        <v>25</v>
      </c>
      <c r="O82" t="s">
        <v>37</v>
      </c>
      <c r="P82" t="s">
        <v>38</v>
      </c>
      <c r="Q82">
        <v>1</v>
      </c>
      <c r="R82" t="s">
        <v>905</v>
      </c>
      <c r="S82">
        <v>449.89</v>
      </c>
      <c r="T82">
        <v>496.03</v>
      </c>
      <c r="U82">
        <v>619.58000000000004</v>
      </c>
      <c r="V82">
        <v>999</v>
      </c>
      <c r="W82">
        <v>999</v>
      </c>
    </row>
    <row r="83" spans="1:23" x14ac:dyDescent="0.3">
      <c r="A83">
        <v>104647</v>
      </c>
      <c r="B83" t="str">
        <f>CONCATENATE(Table1[[#This Row],[Fname]]," ",Table1[[#This Row],[Lname]])</f>
        <v>Miti Budd</v>
      </c>
      <c r="C83" t="str">
        <f>CONCATENATE(Table1[[#This Row],[Sex]],"-",Table1[[#This Row],[Column3]])</f>
        <v>F-u16</v>
      </c>
      <c r="D83" t="s">
        <v>58</v>
      </c>
      <c r="E83" t="s">
        <v>59</v>
      </c>
      <c r="F83">
        <v>2010</v>
      </c>
      <c r="G83" t="str">
        <f>_xlfn.XLOOKUP(Table1[[#This Row],[YOB]],Table2[YOB],Table2[Category])</f>
        <v>u16</v>
      </c>
      <c r="H83" t="s">
        <v>36</v>
      </c>
      <c r="I83" t="s">
        <v>23</v>
      </c>
      <c r="J83" t="s">
        <v>24</v>
      </c>
      <c r="K83" t="s">
        <v>25</v>
      </c>
      <c r="L83" t="s">
        <v>26</v>
      </c>
      <c r="M83" t="s">
        <v>27</v>
      </c>
      <c r="N83" t="s">
        <v>25</v>
      </c>
      <c r="O83" t="s">
        <v>37</v>
      </c>
      <c r="P83" t="s">
        <v>38</v>
      </c>
      <c r="Q83">
        <v>1</v>
      </c>
      <c r="R83" t="s">
        <v>905</v>
      </c>
      <c r="S83">
        <v>373.85</v>
      </c>
      <c r="T83">
        <v>340.99</v>
      </c>
      <c r="U83">
        <v>564.30999999999995</v>
      </c>
      <c r="V83">
        <v>999</v>
      </c>
      <c r="W83">
        <v>999</v>
      </c>
    </row>
    <row r="84" spans="1:23" x14ac:dyDescent="0.3">
      <c r="A84">
        <v>89072</v>
      </c>
      <c r="B84" t="str">
        <f>CONCATENATE(Table1[[#This Row],[Fname]]," ",Table1[[#This Row],[Lname]])</f>
        <v>Melanie Church</v>
      </c>
      <c r="C84" t="str">
        <f>CONCATENATE(Table1[[#This Row],[Sex]],"-",Table1[[#This Row],[Column3]])</f>
        <v>F-u16</v>
      </c>
      <c r="D84" t="s">
        <v>916</v>
      </c>
      <c r="E84" t="s">
        <v>917</v>
      </c>
      <c r="F84">
        <v>2011</v>
      </c>
      <c r="G84" t="str">
        <f>_xlfn.XLOOKUP(Table1[[#This Row],[YOB]],Table2[YOB],Table2[Category])</f>
        <v>u16</v>
      </c>
      <c r="H84" t="s">
        <v>36</v>
      </c>
      <c r="I84" t="s">
        <v>23</v>
      </c>
      <c r="J84" t="s">
        <v>24</v>
      </c>
      <c r="K84" t="s">
        <v>25</v>
      </c>
      <c r="L84" t="s">
        <v>26</v>
      </c>
      <c r="M84" t="s">
        <v>27</v>
      </c>
      <c r="N84" t="s">
        <v>25</v>
      </c>
      <c r="O84" t="s">
        <v>37</v>
      </c>
      <c r="P84" t="s">
        <v>38</v>
      </c>
      <c r="Q84">
        <v>1</v>
      </c>
      <c r="R84" t="s">
        <v>905</v>
      </c>
      <c r="S84">
        <v>530.75</v>
      </c>
      <c r="T84">
        <v>462.94</v>
      </c>
      <c r="U84">
        <v>687.22</v>
      </c>
      <c r="V84">
        <v>999</v>
      </c>
      <c r="W84">
        <v>999</v>
      </c>
    </row>
    <row r="85" spans="1:23" x14ac:dyDescent="0.3">
      <c r="A85">
        <v>121115</v>
      </c>
      <c r="B85" t="str">
        <f>CONCATENATE(Table1[[#This Row],[Fname]]," ",Table1[[#This Row],[Lname]])</f>
        <v>Julia Kilpatrick</v>
      </c>
      <c r="C85" t="str">
        <f>CONCATENATE(Table1[[#This Row],[Sex]],"-",Table1[[#This Row],[Column3]])</f>
        <v>F-u16</v>
      </c>
      <c r="D85" t="s">
        <v>128</v>
      </c>
      <c r="E85" t="s">
        <v>922</v>
      </c>
      <c r="F85">
        <v>2011</v>
      </c>
      <c r="G85" t="str">
        <f>_xlfn.XLOOKUP(Table1[[#This Row],[YOB]],Table2[YOB],Table2[Category])</f>
        <v>u16</v>
      </c>
      <c r="H85" t="s">
        <v>36</v>
      </c>
      <c r="I85" t="s">
        <v>23</v>
      </c>
      <c r="J85" t="s">
        <v>24</v>
      </c>
      <c r="K85" t="s">
        <v>25</v>
      </c>
      <c r="L85" t="s">
        <v>26</v>
      </c>
      <c r="M85" t="s">
        <v>27</v>
      </c>
      <c r="N85" t="s">
        <v>25</v>
      </c>
      <c r="O85" t="s">
        <v>37</v>
      </c>
      <c r="P85" t="s">
        <v>38</v>
      </c>
      <c r="Q85">
        <v>1</v>
      </c>
      <c r="R85" t="s">
        <v>905</v>
      </c>
      <c r="S85">
        <v>555.21</v>
      </c>
      <c r="T85">
        <v>588.45000000000005</v>
      </c>
      <c r="U85">
        <v>999</v>
      </c>
      <c r="V85">
        <v>999</v>
      </c>
      <c r="W85">
        <v>999</v>
      </c>
    </row>
    <row r="86" spans="1:23" x14ac:dyDescent="0.3">
      <c r="A86">
        <v>89752</v>
      </c>
      <c r="B86" t="str">
        <f>CONCATENATE(Table1[[#This Row],[Fname]]," ",Table1[[#This Row],[Lname]])</f>
        <v>Carrie Lee</v>
      </c>
      <c r="C86" t="str">
        <f>CONCATENATE(Table1[[#This Row],[Sex]],"-",Table1[[#This Row],[Column3]])</f>
        <v>F-u16</v>
      </c>
      <c r="D86" t="s">
        <v>123</v>
      </c>
      <c r="E86" t="s">
        <v>124</v>
      </c>
      <c r="F86">
        <v>2011</v>
      </c>
      <c r="G86" t="str">
        <f>_xlfn.XLOOKUP(Table1[[#This Row],[YOB]],Table2[YOB],Table2[Category])</f>
        <v>u16</v>
      </c>
      <c r="H86" t="s">
        <v>36</v>
      </c>
      <c r="I86" t="s">
        <v>23</v>
      </c>
      <c r="J86" t="s">
        <v>24</v>
      </c>
      <c r="K86" t="s">
        <v>25</v>
      </c>
      <c r="L86" t="s">
        <v>26</v>
      </c>
      <c r="M86" t="s">
        <v>27</v>
      </c>
      <c r="N86" t="s">
        <v>25</v>
      </c>
      <c r="O86" t="s">
        <v>37</v>
      </c>
      <c r="P86" t="s">
        <v>38</v>
      </c>
      <c r="Q86">
        <v>1</v>
      </c>
      <c r="R86" t="s">
        <v>905</v>
      </c>
      <c r="S86">
        <v>315.98</v>
      </c>
      <c r="T86">
        <v>337.31</v>
      </c>
      <c r="U86">
        <v>518.44000000000005</v>
      </c>
      <c r="V86">
        <v>999</v>
      </c>
      <c r="W86">
        <v>999</v>
      </c>
    </row>
    <row r="87" spans="1:23" x14ac:dyDescent="0.3">
      <c r="A87">
        <v>104665</v>
      </c>
      <c r="B87" t="str">
        <f>CONCATENATE(Table1[[#This Row],[Fname]]," ",Table1[[#This Row],[Lname]])</f>
        <v>Olivia Roy</v>
      </c>
      <c r="C87" t="str">
        <f>CONCATENATE(Table1[[#This Row],[Sex]],"-",Table1[[#This Row],[Column3]])</f>
        <v>F-u16</v>
      </c>
      <c r="D87" t="s">
        <v>183</v>
      </c>
      <c r="E87" t="s">
        <v>181</v>
      </c>
      <c r="F87">
        <v>2011</v>
      </c>
      <c r="G87" t="str">
        <f>_xlfn.XLOOKUP(Table1[[#This Row],[YOB]],Table2[YOB],Table2[Category])</f>
        <v>u16</v>
      </c>
      <c r="H87" t="s">
        <v>36</v>
      </c>
      <c r="I87" t="s">
        <v>23</v>
      </c>
      <c r="J87" t="s">
        <v>24</v>
      </c>
      <c r="K87" t="s">
        <v>25</v>
      </c>
      <c r="L87" t="s">
        <v>26</v>
      </c>
      <c r="M87" t="s">
        <v>27</v>
      </c>
      <c r="N87" t="s">
        <v>25</v>
      </c>
      <c r="O87" t="s">
        <v>37</v>
      </c>
      <c r="P87" t="s">
        <v>38</v>
      </c>
      <c r="Q87">
        <v>1</v>
      </c>
      <c r="R87" t="s">
        <v>905</v>
      </c>
      <c r="S87">
        <v>447.06</v>
      </c>
      <c r="T87">
        <v>477.82</v>
      </c>
      <c r="U87">
        <v>596.95000000000005</v>
      </c>
      <c r="V87">
        <v>999</v>
      </c>
      <c r="W87">
        <v>999</v>
      </c>
    </row>
    <row r="88" spans="1:23" x14ac:dyDescent="0.3">
      <c r="A88">
        <v>88934</v>
      </c>
      <c r="B88" t="str">
        <f>CONCATENATE(Table1[[#This Row],[Fname]]," ",Table1[[#This Row],[Lname]])</f>
        <v>Elle Slattery</v>
      </c>
      <c r="C88" t="str">
        <f>CONCATENATE(Table1[[#This Row],[Sex]],"-",Table1[[#This Row],[Column3]])</f>
        <v>F-u16</v>
      </c>
      <c r="D88" t="s">
        <v>107</v>
      </c>
      <c r="E88" t="s">
        <v>194</v>
      </c>
      <c r="F88">
        <v>2011</v>
      </c>
      <c r="G88" t="str">
        <f>_xlfn.XLOOKUP(Table1[[#This Row],[YOB]],Table2[YOB],Table2[Category])</f>
        <v>u16</v>
      </c>
      <c r="H88" t="s">
        <v>36</v>
      </c>
      <c r="I88" t="s">
        <v>23</v>
      </c>
      <c r="J88" t="s">
        <v>24</v>
      </c>
      <c r="K88" t="s">
        <v>25</v>
      </c>
      <c r="L88" t="s">
        <v>26</v>
      </c>
      <c r="M88" t="s">
        <v>27</v>
      </c>
      <c r="N88" t="s">
        <v>25</v>
      </c>
      <c r="O88" t="s">
        <v>37</v>
      </c>
      <c r="P88" t="s">
        <v>38</v>
      </c>
      <c r="Q88">
        <v>1</v>
      </c>
      <c r="R88" t="s">
        <v>905</v>
      </c>
      <c r="S88">
        <v>430.32</v>
      </c>
      <c r="T88">
        <v>543.82000000000005</v>
      </c>
      <c r="U88">
        <v>684.09</v>
      </c>
      <c r="V88">
        <v>999</v>
      </c>
      <c r="W88">
        <v>999</v>
      </c>
    </row>
    <row r="89" spans="1:23" x14ac:dyDescent="0.3">
      <c r="A89">
        <v>94556</v>
      </c>
      <c r="B89" t="str">
        <f>CONCATENATE(Table1[[#This Row],[Fname]]," ",Table1[[#This Row],[Lname]])</f>
        <v>Mahéva Bois</v>
      </c>
      <c r="C89" t="str">
        <f>CONCATENATE(Table1[[#This Row],[Sex]],"-",Table1[[#This Row],[Column3]])</f>
        <v>F-u16</v>
      </c>
      <c r="D89" t="s">
        <v>224</v>
      </c>
      <c r="E89" t="s">
        <v>225</v>
      </c>
      <c r="F89">
        <v>2011</v>
      </c>
      <c r="G89" t="str">
        <f>_xlfn.XLOOKUP(Table1[[#This Row],[YOB]],Table2[YOB],Table2[Category])</f>
        <v>u16</v>
      </c>
      <c r="H89" t="s">
        <v>36</v>
      </c>
      <c r="I89" t="s">
        <v>222</v>
      </c>
      <c r="J89" t="s">
        <v>223</v>
      </c>
      <c r="K89" t="s">
        <v>25</v>
      </c>
      <c r="L89" t="s">
        <v>26</v>
      </c>
      <c r="M89" t="s">
        <v>27</v>
      </c>
      <c r="N89" t="s">
        <v>25</v>
      </c>
      <c r="O89" t="s">
        <v>37</v>
      </c>
      <c r="P89" t="s">
        <v>38</v>
      </c>
      <c r="Q89">
        <v>1</v>
      </c>
      <c r="R89" t="s">
        <v>905</v>
      </c>
      <c r="S89">
        <v>396.74</v>
      </c>
      <c r="T89">
        <v>450.99</v>
      </c>
      <c r="U89">
        <v>735.13</v>
      </c>
      <c r="V89">
        <v>999</v>
      </c>
      <c r="W89">
        <v>999</v>
      </c>
    </row>
    <row r="90" spans="1:23" x14ac:dyDescent="0.3">
      <c r="A90">
        <v>93284</v>
      </c>
      <c r="B90" t="str">
        <f>CONCATENATE(Table1[[#This Row],[Fname]]," ",Table1[[#This Row],[Lname]])</f>
        <v>Elyse Michaud</v>
      </c>
      <c r="C90" t="str">
        <f>CONCATENATE(Table1[[#This Row],[Sex]],"-",Table1[[#This Row],[Column3]])</f>
        <v>F-u16</v>
      </c>
      <c r="D90" t="s">
        <v>242</v>
      </c>
      <c r="E90" t="s">
        <v>243</v>
      </c>
      <c r="F90">
        <v>2010</v>
      </c>
      <c r="G90" t="str">
        <f>_xlfn.XLOOKUP(Table1[[#This Row],[YOB]],Table2[YOB],Table2[Category])</f>
        <v>u16</v>
      </c>
      <c r="H90" t="s">
        <v>36</v>
      </c>
      <c r="I90" t="s">
        <v>222</v>
      </c>
      <c r="J90" t="s">
        <v>223</v>
      </c>
      <c r="K90" t="s">
        <v>25</v>
      </c>
      <c r="L90" t="s">
        <v>26</v>
      </c>
      <c r="M90" t="s">
        <v>27</v>
      </c>
      <c r="N90" t="s">
        <v>25</v>
      </c>
      <c r="O90" t="s">
        <v>37</v>
      </c>
      <c r="P90" t="s">
        <v>38</v>
      </c>
      <c r="Q90">
        <v>1</v>
      </c>
      <c r="R90" t="s">
        <v>905</v>
      </c>
      <c r="S90">
        <v>302.31</v>
      </c>
      <c r="T90">
        <v>324.51</v>
      </c>
      <c r="U90">
        <v>487.27</v>
      </c>
      <c r="V90">
        <v>999</v>
      </c>
      <c r="W90">
        <v>999</v>
      </c>
    </row>
    <row r="91" spans="1:23" x14ac:dyDescent="0.3">
      <c r="A91">
        <v>109211</v>
      </c>
      <c r="B91" t="str">
        <f>CONCATENATE(Table1[[#This Row],[Fname]]," ",Table1[[#This Row],[Lname]])</f>
        <v>Pearl Beairsto</v>
      </c>
      <c r="C91" t="str">
        <f>CONCATENATE(Table1[[#This Row],[Sex]],"-",Table1[[#This Row],[Column3]])</f>
        <v>F-u19</v>
      </c>
      <c r="D91" t="s">
        <v>262</v>
      </c>
      <c r="E91" t="s">
        <v>261</v>
      </c>
      <c r="F91">
        <v>2009</v>
      </c>
      <c r="G91" t="str">
        <f>_xlfn.XLOOKUP(Table1[[#This Row],[YOB]],Table2[YOB],Table2[Category])</f>
        <v>u19</v>
      </c>
      <c r="H91" t="s">
        <v>36</v>
      </c>
      <c r="I91" t="s">
        <v>256</v>
      </c>
      <c r="J91" t="s">
        <v>257</v>
      </c>
      <c r="K91" t="s">
        <v>25</v>
      </c>
      <c r="L91" t="s">
        <v>26</v>
      </c>
      <c r="M91" t="s">
        <v>27</v>
      </c>
      <c r="N91" t="s">
        <v>25</v>
      </c>
      <c r="O91" t="s">
        <v>37</v>
      </c>
      <c r="P91" t="s">
        <v>38</v>
      </c>
      <c r="Q91">
        <v>1</v>
      </c>
      <c r="R91" t="s">
        <v>905</v>
      </c>
      <c r="S91">
        <v>410.17</v>
      </c>
      <c r="T91">
        <v>445.27</v>
      </c>
      <c r="U91">
        <v>648.34</v>
      </c>
      <c r="V91">
        <v>999</v>
      </c>
      <c r="W91">
        <v>999</v>
      </c>
    </row>
    <row r="92" spans="1:23" x14ac:dyDescent="0.3">
      <c r="A92">
        <v>92157</v>
      </c>
      <c r="B92" t="str">
        <f>CONCATENATE(Table1[[#This Row],[Fname]]," ",Table1[[#This Row],[Lname]])</f>
        <v>Lucy Hall</v>
      </c>
      <c r="C92" t="str">
        <f>CONCATENATE(Table1[[#This Row],[Sex]],"-",Table1[[#This Row],[Column3]])</f>
        <v>F-u19</v>
      </c>
      <c r="D92" t="s">
        <v>266</v>
      </c>
      <c r="E92" t="s">
        <v>293</v>
      </c>
      <c r="F92">
        <v>2009</v>
      </c>
      <c r="G92" t="str">
        <f>_xlfn.XLOOKUP(Table1[[#This Row],[YOB]],Table2[YOB],Table2[Category])</f>
        <v>u19</v>
      </c>
      <c r="H92" t="s">
        <v>36</v>
      </c>
      <c r="I92" t="s">
        <v>256</v>
      </c>
      <c r="J92" t="s">
        <v>257</v>
      </c>
      <c r="K92" t="s">
        <v>25</v>
      </c>
      <c r="L92" t="s">
        <v>26</v>
      </c>
      <c r="M92" t="s">
        <v>27</v>
      </c>
      <c r="N92" t="s">
        <v>25</v>
      </c>
      <c r="O92" t="s">
        <v>37</v>
      </c>
      <c r="P92" t="s">
        <v>38</v>
      </c>
      <c r="Q92">
        <v>1</v>
      </c>
      <c r="R92" t="s">
        <v>905</v>
      </c>
      <c r="S92">
        <v>719.7</v>
      </c>
      <c r="T92">
        <v>475.57</v>
      </c>
      <c r="U92">
        <v>720.25</v>
      </c>
      <c r="V92">
        <v>999</v>
      </c>
      <c r="W92">
        <v>999</v>
      </c>
    </row>
    <row r="93" spans="1:23" x14ac:dyDescent="0.3">
      <c r="A93">
        <v>86514</v>
      </c>
      <c r="B93" t="str">
        <f>CONCATENATE(Table1[[#This Row],[Fname]]," ",Table1[[#This Row],[Lname]])</f>
        <v>Abigail Manson</v>
      </c>
      <c r="C93" t="str">
        <f>CONCATENATE(Table1[[#This Row],[Sex]],"-",Table1[[#This Row],[Column3]])</f>
        <v>F-u19</v>
      </c>
      <c r="D93" t="s">
        <v>180</v>
      </c>
      <c r="E93" t="s">
        <v>309</v>
      </c>
      <c r="F93">
        <v>2008</v>
      </c>
      <c r="G93" t="str">
        <f>_xlfn.XLOOKUP(Table1[[#This Row],[YOB]],Table2[YOB],Table2[Category])</f>
        <v>u19</v>
      </c>
      <c r="H93" t="s">
        <v>36</v>
      </c>
      <c r="I93" t="s">
        <v>256</v>
      </c>
      <c r="J93" t="s">
        <v>257</v>
      </c>
      <c r="K93" t="s">
        <v>25</v>
      </c>
      <c r="L93" t="s">
        <v>26</v>
      </c>
      <c r="M93" t="s">
        <v>27</v>
      </c>
      <c r="N93" t="s">
        <v>25</v>
      </c>
      <c r="O93" t="s">
        <v>37</v>
      </c>
      <c r="P93" t="s">
        <v>38</v>
      </c>
      <c r="Q93">
        <v>1</v>
      </c>
      <c r="R93" t="s">
        <v>905</v>
      </c>
      <c r="S93">
        <v>113.39</v>
      </c>
      <c r="T93">
        <v>155.91999999999999</v>
      </c>
      <c r="U93">
        <v>999</v>
      </c>
      <c r="V93">
        <v>999</v>
      </c>
      <c r="W93">
        <v>999</v>
      </c>
    </row>
    <row r="94" spans="1:23" x14ac:dyDescent="0.3">
      <c r="A94">
        <v>117692</v>
      </c>
      <c r="B94" t="str">
        <f>CONCATENATE(Table1[[#This Row],[Fname]]," ",Table1[[#This Row],[Lname]])</f>
        <v>Morgan Roherty</v>
      </c>
      <c r="C94" t="str">
        <f>CONCATENATE(Table1[[#This Row],[Sex]],"-",Table1[[#This Row],[Column3]])</f>
        <v>F-u19</v>
      </c>
      <c r="D94" t="s">
        <v>306</v>
      </c>
      <c r="E94" t="s">
        <v>334</v>
      </c>
      <c r="F94">
        <v>2009</v>
      </c>
      <c r="G94" t="str">
        <f>_xlfn.XLOOKUP(Table1[[#This Row],[YOB]],Table2[YOB],Table2[Category])</f>
        <v>u19</v>
      </c>
      <c r="H94" t="s">
        <v>36</v>
      </c>
      <c r="I94" t="s">
        <v>256</v>
      </c>
      <c r="J94" t="s">
        <v>257</v>
      </c>
      <c r="K94" t="s">
        <v>25</v>
      </c>
      <c r="L94" t="s">
        <v>26</v>
      </c>
      <c r="M94" t="s">
        <v>27</v>
      </c>
      <c r="N94" t="s">
        <v>25</v>
      </c>
      <c r="O94" t="s">
        <v>37</v>
      </c>
      <c r="P94" t="s">
        <v>38</v>
      </c>
      <c r="Q94">
        <v>1</v>
      </c>
      <c r="R94" t="s">
        <v>905</v>
      </c>
      <c r="S94">
        <v>520.08000000000004</v>
      </c>
      <c r="T94">
        <v>483.84</v>
      </c>
      <c r="U94">
        <v>646.51</v>
      </c>
      <c r="V94">
        <v>999</v>
      </c>
      <c r="W94">
        <v>999</v>
      </c>
    </row>
    <row r="95" spans="1:23" x14ac:dyDescent="0.3">
      <c r="A95">
        <v>85643</v>
      </c>
      <c r="B95" t="str">
        <f>CONCATENATE(Table1[[#This Row],[Fname]]," ",Table1[[#This Row],[Lname]])</f>
        <v>Lily-Jane Sparkes</v>
      </c>
      <c r="C95" t="str">
        <f>CONCATENATE(Table1[[#This Row],[Sex]],"-",Table1[[#This Row],[Column3]])</f>
        <v>F-u19</v>
      </c>
      <c r="D95" t="s">
        <v>342</v>
      </c>
      <c r="E95" t="s">
        <v>343</v>
      </c>
      <c r="F95">
        <v>2007</v>
      </c>
      <c r="G95" t="str">
        <f>_xlfn.XLOOKUP(Table1[[#This Row],[YOB]],Table2[YOB],Table2[Category])</f>
        <v>u19</v>
      </c>
      <c r="H95" t="s">
        <v>36</v>
      </c>
      <c r="I95" t="s">
        <v>256</v>
      </c>
      <c r="J95" t="s">
        <v>257</v>
      </c>
      <c r="K95" t="s">
        <v>25</v>
      </c>
      <c r="L95" t="s">
        <v>26</v>
      </c>
      <c r="M95" t="s">
        <v>27</v>
      </c>
      <c r="N95" t="s">
        <v>25</v>
      </c>
      <c r="O95" t="s">
        <v>37</v>
      </c>
      <c r="P95" t="s">
        <v>38</v>
      </c>
      <c r="Q95">
        <v>1</v>
      </c>
      <c r="R95" t="s">
        <v>905</v>
      </c>
      <c r="S95">
        <v>109.7</v>
      </c>
      <c r="T95">
        <v>124.17</v>
      </c>
      <c r="U95">
        <v>230.66</v>
      </c>
      <c r="V95">
        <v>999</v>
      </c>
      <c r="W95">
        <v>999</v>
      </c>
    </row>
    <row r="96" spans="1:23" x14ac:dyDescent="0.3">
      <c r="A96">
        <v>87553</v>
      </c>
      <c r="B96" t="str">
        <f>CONCATENATE(Table1[[#This Row],[Fname]]," ",Table1[[#This Row],[Lname]])</f>
        <v>Alison Colpitts</v>
      </c>
      <c r="C96" t="str">
        <f>CONCATENATE(Table1[[#This Row],[Sex]],"-",Table1[[#This Row],[Column3]])</f>
        <v>F-u19</v>
      </c>
      <c r="D96" t="s">
        <v>918</v>
      </c>
      <c r="E96" t="s">
        <v>919</v>
      </c>
      <c r="F96">
        <v>2008</v>
      </c>
      <c r="G96" t="str">
        <f>_xlfn.XLOOKUP(Table1[[#This Row],[YOB]],Table2[YOB],Table2[Category])</f>
        <v>u19</v>
      </c>
      <c r="H96" t="s">
        <v>36</v>
      </c>
      <c r="I96" t="s">
        <v>23</v>
      </c>
      <c r="J96" t="s">
        <v>24</v>
      </c>
      <c r="K96" t="s">
        <v>25</v>
      </c>
      <c r="L96" t="s">
        <v>26</v>
      </c>
      <c r="M96" t="s">
        <v>27</v>
      </c>
      <c r="N96" t="s">
        <v>25</v>
      </c>
      <c r="O96" t="s">
        <v>37</v>
      </c>
      <c r="P96" t="s">
        <v>38</v>
      </c>
      <c r="Q96">
        <v>1</v>
      </c>
      <c r="R96" t="s">
        <v>905</v>
      </c>
      <c r="S96">
        <v>297.76</v>
      </c>
      <c r="T96">
        <v>340.16</v>
      </c>
      <c r="U96">
        <v>510.99</v>
      </c>
      <c r="V96">
        <v>999</v>
      </c>
      <c r="W96">
        <v>999</v>
      </c>
    </row>
    <row r="97" spans="1:23" x14ac:dyDescent="0.3">
      <c r="A97">
        <v>84482</v>
      </c>
      <c r="B97" t="str">
        <f>CONCATENATE(Table1[[#This Row],[Fname]]," ",Table1[[#This Row],[Lname]])</f>
        <v>Sofia Murray</v>
      </c>
      <c r="C97" t="str">
        <f>CONCATENATE(Table1[[#This Row],[Sex]],"-",Table1[[#This Row],[Column3]])</f>
        <v>F-u19</v>
      </c>
      <c r="D97" t="s">
        <v>154</v>
      </c>
      <c r="E97" t="s">
        <v>155</v>
      </c>
      <c r="F97">
        <v>2008</v>
      </c>
      <c r="G97" t="str">
        <f>_xlfn.XLOOKUP(Table1[[#This Row],[YOB]],Table2[YOB],Table2[Category])</f>
        <v>u19</v>
      </c>
      <c r="H97" t="s">
        <v>36</v>
      </c>
      <c r="I97" t="s">
        <v>23</v>
      </c>
      <c r="J97" t="s">
        <v>24</v>
      </c>
      <c r="K97" t="s">
        <v>25</v>
      </c>
      <c r="L97" t="s">
        <v>26</v>
      </c>
      <c r="M97" t="s">
        <v>27</v>
      </c>
      <c r="N97" t="s">
        <v>25</v>
      </c>
      <c r="O97" t="s">
        <v>37</v>
      </c>
      <c r="P97" t="s">
        <v>38</v>
      </c>
      <c r="Q97">
        <v>1</v>
      </c>
      <c r="R97" t="s">
        <v>905</v>
      </c>
      <c r="S97">
        <v>245.54</v>
      </c>
      <c r="T97">
        <v>202.53</v>
      </c>
      <c r="U97">
        <v>768.3</v>
      </c>
      <c r="V97">
        <v>999</v>
      </c>
      <c r="W97">
        <v>999</v>
      </c>
    </row>
    <row r="98" spans="1:23" x14ac:dyDescent="0.3">
      <c r="A98">
        <v>91622</v>
      </c>
      <c r="B98" t="str">
        <f>CONCATENATE(Table1[[#This Row],[Fname]]," ",Table1[[#This Row],[Lname]])</f>
        <v>Chelsey Williams</v>
      </c>
      <c r="C98" t="str">
        <f>CONCATENATE(Table1[[#This Row],[Sex]],"-",Table1[[#This Row],[Column3]])</f>
        <v>F-u19</v>
      </c>
      <c r="D98" t="s">
        <v>216</v>
      </c>
      <c r="E98" t="s">
        <v>217</v>
      </c>
      <c r="F98">
        <v>2009</v>
      </c>
      <c r="G98" t="str">
        <f>_xlfn.XLOOKUP(Table1[[#This Row],[YOB]],Table2[YOB],Table2[Category])</f>
        <v>u19</v>
      </c>
      <c r="H98" t="s">
        <v>36</v>
      </c>
      <c r="I98" t="s">
        <v>23</v>
      </c>
      <c r="J98" t="s">
        <v>24</v>
      </c>
      <c r="K98" t="s">
        <v>25</v>
      </c>
      <c r="L98" t="s">
        <v>26</v>
      </c>
      <c r="M98" t="s">
        <v>27</v>
      </c>
      <c r="N98" t="s">
        <v>25</v>
      </c>
      <c r="O98" t="s">
        <v>37</v>
      </c>
      <c r="P98" t="s">
        <v>38</v>
      </c>
      <c r="Q98">
        <v>1</v>
      </c>
      <c r="R98" t="s">
        <v>905</v>
      </c>
      <c r="S98">
        <v>370.69</v>
      </c>
      <c r="T98">
        <v>427.59</v>
      </c>
      <c r="U98">
        <v>563.25</v>
      </c>
      <c r="V98">
        <v>999</v>
      </c>
      <c r="W98">
        <v>999</v>
      </c>
    </row>
    <row r="99" spans="1:23" x14ac:dyDescent="0.3">
      <c r="A99">
        <v>89136</v>
      </c>
      <c r="B99" t="str">
        <f>CONCATENATE(Table1[[#This Row],[Fname]]," ",Table1[[#This Row],[Lname]])</f>
        <v>Isabel Michaud</v>
      </c>
      <c r="C99" t="str">
        <f>CONCATENATE(Table1[[#This Row],[Sex]],"-",Table1[[#This Row],[Column3]])</f>
        <v>F-u19</v>
      </c>
      <c r="D99" t="s">
        <v>52</v>
      </c>
      <c r="E99" t="s">
        <v>243</v>
      </c>
      <c r="F99">
        <v>2008</v>
      </c>
      <c r="G99" t="str">
        <f>_xlfn.XLOOKUP(Table1[[#This Row],[YOB]],Table2[YOB],Table2[Category])</f>
        <v>u19</v>
      </c>
      <c r="H99" t="s">
        <v>36</v>
      </c>
      <c r="I99" t="s">
        <v>222</v>
      </c>
      <c r="J99" t="s">
        <v>223</v>
      </c>
      <c r="K99" t="s">
        <v>25</v>
      </c>
      <c r="L99" t="s">
        <v>26</v>
      </c>
      <c r="M99" t="s">
        <v>27</v>
      </c>
      <c r="N99" t="s">
        <v>25</v>
      </c>
      <c r="O99" t="s">
        <v>37</v>
      </c>
      <c r="P99" t="s">
        <v>38</v>
      </c>
      <c r="Q99">
        <v>1</v>
      </c>
      <c r="R99" t="s">
        <v>905</v>
      </c>
      <c r="S99">
        <v>360.85</v>
      </c>
      <c r="T99">
        <v>375.71</v>
      </c>
      <c r="U99">
        <v>610.15</v>
      </c>
      <c r="V99">
        <v>999</v>
      </c>
      <c r="W99">
        <v>999</v>
      </c>
    </row>
    <row r="100" spans="1:23" x14ac:dyDescent="0.3">
      <c r="A100">
        <v>85061</v>
      </c>
      <c r="B100" t="str">
        <f>CONCATENATE(Table1[[#This Row],[Fname]]," ",Table1[[#This Row],[Lname]])</f>
        <v>Zoé Picard</v>
      </c>
      <c r="C100" t="str">
        <f>CONCATENATE(Table1[[#This Row],[Sex]],"-",Table1[[#This Row],[Column3]])</f>
        <v>F-u19</v>
      </c>
      <c r="D100" t="s">
        <v>246</v>
      </c>
      <c r="E100" t="s">
        <v>245</v>
      </c>
      <c r="F100">
        <v>2008</v>
      </c>
      <c r="G100" t="str">
        <f>_xlfn.XLOOKUP(Table1[[#This Row],[YOB]],Table2[YOB],Table2[Category])</f>
        <v>u19</v>
      </c>
      <c r="H100" t="s">
        <v>36</v>
      </c>
      <c r="I100" t="s">
        <v>222</v>
      </c>
      <c r="J100" t="s">
        <v>223</v>
      </c>
      <c r="K100" t="s">
        <v>25</v>
      </c>
      <c r="L100" t="s">
        <v>26</v>
      </c>
      <c r="M100" t="s">
        <v>27</v>
      </c>
      <c r="N100" t="s">
        <v>25</v>
      </c>
      <c r="O100" t="s">
        <v>37</v>
      </c>
      <c r="P100" t="s">
        <v>38</v>
      </c>
      <c r="Q100">
        <v>1</v>
      </c>
      <c r="R100" t="s">
        <v>905</v>
      </c>
      <c r="S100">
        <v>309.12</v>
      </c>
      <c r="T100">
        <v>343.8</v>
      </c>
      <c r="U100">
        <v>527.41999999999996</v>
      </c>
      <c r="V100">
        <v>999</v>
      </c>
      <c r="W100">
        <v>999</v>
      </c>
    </row>
    <row r="101" spans="1:23" x14ac:dyDescent="0.3">
      <c r="A101">
        <v>126983</v>
      </c>
      <c r="B101" t="str">
        <f>CONCATENATE(Table1[[#This Row],[Fname]]," ",Table1[[#This Row],[Lname]])</f>
        <v>Brynn Fitzpatrick</v>
      </c>
      <c r="C101" t="str">
        <f>CONCATENATE(Table1[[#This Row],[Sex]],"-",Table1[[#This Row],[Column3]])</f>
        <v>F-u8</v>
      </c>
      <c r="D101" t="s">
        <v>83</v>
      </c>
      <c r="E101" t="s">
        <v>84</v>
      </c>
      <c r="F101">
        <v>2019</v>
      </c>
      <c r="G101" t="str">
        <f>_xlfn.XLOOKUP(Table1[[#This Row],[YOB]],Table2[YOB],Table2[Category])</f>
        <v>u8</v>
      </c>
      <c r="H101" t="s">
        <v>36</v>
      </c>
      <c r="I101" t="s">
        <v>23</v>
      </c>
      <c r="J101" t="s">
        <v>24</v>
      </c>
      <c r="K101" t="s">
        <v>25</v>
      </c>
      <c r="L101" t="s">
        <v>26</v>
      </c>
      <c r="M101" t="s">
        <v>27</v>
      </c>
      <c r="N101" t="s">
        <v>25</v>
      </c>
      <c r="O101" t="s">
        <v>28</v>
      </c>
      <c r="P101" t="s">
        <v>29</v>
      </c>
      <c r="Q101">
        <v>0</v>
      </c>
      <c r="R101" t="s">
        <v>30</v>
      </c>
      <c r="S101">
        <v>999</v>
      </c>
      <c r="T101">
        <v>999</v>
      </c>
      <c r="U101">
        <v>999</v>
      </c>
      <c r="V101">
        <v>999</v>
      </c>
      <c r="W101">
        <v>999</v>
      </c>
    </row>
    <row r="102" spans="1:23" x14ac:dyDescent="0.3">
      <c r="A102">
        <v>123256</v>
      </c>
      <c r="B102" t="str">
        <f>CONCATENATE(Table1[[#This Row],[Fname]]," ",Table1[[#This Row],[Lname]])</f>
        <v>Eadlyn Jenkins</v>
      </c>
      <c r="C102" t="str">
        <f>CONCATENATE(Table1[[#This Row],[Sex]],"-",Table1[[#This Row],[Column3]])</f>
        <v>F-u8</v>
      </c>
      <c r="D102" t="s">
        <v>109</v>
      </c>
      <c r="E102" t="s">
        <v>110</v>
      </c>
      <c r="F102">
        <v>2018</v>
      </c>
      <c r="G102" t="str">
        <f>_xlfn.XLOOKUP(Table1[[#This Row],[YOB]],Table2[YOB],Table2[Category])</f>
        <v>u8</v>
      </c>
      <c r="H102" t="s">
        <v>36</v>
      </c>
      <c r="I102" t="s">
        <v>23</v>
      </c>
      <c r="J102" t="s">
        <v>24</v>
      </c>
      <c r="K102" t="s">
        <v>25</v>
      </c>
      <c r="L102" t="s">
        <v>26</v>
      </c>
      <c r="M102" t="s">
        <v>27</v>
      </c>
      <c r="N102" t="s">
        <v>25</v>
      </c>
      <c r="O102" t="s">
        <v>28</v>
      </c>
      <c r="P102" t="s">
        <v>29</v>
      </c>
      <c r="Q102">
        <v>0</v>
      </c>
      <c r="R102" t="s">
        <v>30</v>
      </c>
      <c r="S102">
        <v>999</v>
      </c>
      <c r="T102">
        <v>999</v>
      </c>
      <c r="U102">
        <v>999</v>
      </c>
      <c r="V102">
        <v>999</v>
      </c>
      <c r="W102">
        <v>999</v>
      </c>
    </row>
    <row r="103" spans="1:23" x14ac:dyDescent="0.3">
      <c r="A103">
        <v>126982</v>
      </c>
      <c r="B103" t="str">
        <f>CONCATENATE(Table1[[#This Row],[Fname]]," ",Table1[[#This Row],[Lname]])</f>
        <v>Margot Malenfant</v>
      </c>
      <c r="C103" t="str">
        <f>CONCATENATE(Table1[[#This Row],[Sex]],"-",Table1[[#This Row],[Column3]])</f>
        <v>F-u8</v>
      </c>
      <c r="D103" t="s">
        <v>137</v>
      </c>
      <c r="E103" t="s">
        <v>138</v>
      </c>
      <c r="F103">
        <v>2018</v>
      </c>
      <c r="G103" t="str">
        <f>_xlfn.XLOOKUP(Table1[[#This Row],[YOB]],Table2[YOB],Table2[Category])</f>
        <v>u8</v>
      </c>
      <c r="H103" t="s">
        <v>36</v>
      </c>
      <c r="I103" t="s">
        <v>23</v>
      </c>
      <c r="J103" t="s">
        <v>24</v>
      </c>
      <c r="K103" t="s">
        <v>25</v>
      </c>
      <c r="L103" t="s">
        <v>26</v>
      </c>
      <c r="M103" t="s">
        <v>27</v>
      </c>
      <c r="N103" t="s">
        <v>25</v>
      </c>
      <c r="O103" t="s">
        <v>28</v>
      </c>
      <c r="P103" t="s">
        <v>29</v>
      </c>
      <c r="Q103">
        <v>0</v>
      </c>
      <c r="R103" t="s">
        <v>30</v>
      </c>
      <c r="S103">
        <v>999</v>
      </c>
      <c r="T103">
        <v>999</v>
      </c>
      <c r="U103">
        <v>999</v>
      </c>
      <c r="V103">
        <v>999</v>
      </c>
      <c r="W103">
        <v>999</v>
      </c>
    </row>
    <row r="104" spans="1:23" x14ac:dyDescent="0.3">
      <c r="A104">
        <v>126992</v>
      </c>
      <c r="B104" t="str">
        <f>CONCATENATE(Table1[[#This Row],[Fname]]," ",Table1[[#This Row],[Lname]])</f>
        <v>Ava Maxwell</v>
      </c>
      <c r="C104" t="str">
        <f>CONCATENATE(Table1[[#This Row],[Sex]],"-",Table1[[#This Row],[Column3]])</f>
        <v>F-u8</v>
      </c>
      <c r="D104" t="s">
        <v>105</v>
      </c>
      <c r="E104" t="s">
        <v>145</v>
      </c>
      <c r="F104">
        <v>2019</v>
      </c>
      <c r="G104" t="str">
        <f>_xlfn.XLOOKUP(Table1[[#This Row],[YOB]],Table2[YOB],Table2[Category])</f>
        <v>u8</v>
      </c>
      <c r="H104" t="s">
        <v>36</v>
      </c>
      <c r="I104" t="s">
        <v>23</v>
      </c>
      <c r="J104" t="s">
        <v>24</v>
      </c>
      <c r="K104" t="s">
        <v>25</v>
      </c>
      <c r="L104" t="s">
        <v>26</v>
      </c>
      <c r="M104" t="s">
        <v>27</v>
      </c>
      <c r="N104" t="s">
        <v>25</v>
      </c>
      <c r="O104" t="s">
        <v>28</v>
      </c>
      <c r="P104" t="s">
        <v>29</v>
      </c>
      <c r="Q104">
        <v>0</v>
      </c>
      <c r="R104" t="s">
        <v>30</v>
      </c>
      <c r="S104">
        <v>999</v>
      </c>
      <c r="T104">
        <v>999</v>
      </c>
      <c r="U104">
        <v>999</v>
      </c>
      <c r="V104">
        <v>999</v>
      </c>
      <c r="W104">
        <v>999</v>
      </c>
    </row>
    <row r="105" spans="1:23" x14ac:dyDescent="0.3">
      <c r="A105">
        <v>126980</v>
      </c>
      <c r="B105" t="str">
        <f>CONCATENATE(Table1[[#This Row],[Fname]]," ",Table1[[#This Row],[Lname]])</f>
        <v>Kinsley Muise</v>
      </c>
      <c r="C105" t="str">
        <f>CONCATENATE(Table1[[#This Row],[Sex]],"-",Table1[[#This Row],[Column3]])</f>
        <v>F-u8</v>
      </c>
      <c r="D105" t="s">
        <v>152</v>
      </c>
      <c r="E105" t="s">
        <v>153</v>
      </c>
      <c r="F105">
        <v>2018</v>
      </c>
      <c r="G105" t="str">
        <f>_xlfn.XLOOKUP(Table1[[#This Row],[YOB]],Table2[YOB],Table2[Category])</f>
        <v>u8</v>
      </c>
      <c r="H105" t="s">
        <v>36</v>
      </c>
      <c r="I105" t="s">
        <v>23</v>
      </c>
      <c r="J105" t="s">
        <v>24</v>
      </c>
      <c r="K105" t="s">
        <v>25</v>
      </c>
      <c r="L105" t="s">
        <v>26</v>
      </c>
      <c r="M105" t="s">
        <v>27</v>
      </c>
      <c r="N105" t="s">
        <v>25</v>
      </c>
      <c r="O105" t="s">
        <v>28</v>
      </c>
      <c r="P105" t="s">
        <v>29</v>
      </c>
      <c r="Q105">
        <v>0</v>
      </c>
      <c r="R105" t="s">
        <v>30</v>
      </c>
      <c r="S105">
        <v>999</v>
      </c>
      <c r="T105">
        <v>999</v>
      </c>
      <c r="U105">
        <v>999</v>
      </c>
      <c r="V105">
        <v>999</v>
      </c>
      <c r="W105">
        <v>999</v>
      </c>
    </row>
    <row r="106" spans="1:23" x14ac:dyDescent="0.3">
      <c r="A106">
        <v>123245</v>
      </c>
      <c r="B106" t="str">
        <f>CONCATENATE(Table1[[#This Row],[Fname]]," ",Table1[[#This Row],[Lname]])</f>
        <v>Casey Pearson</v>
      </c>
      <c r="C106" t="str">
        <f>CONCATENATE(Table1[[#This Row],[Sex]],"-",Table1[[#This Row],[Column3]])</f>
        <v>F-u8</v>
      </c>
      <c r="D106" t="s">
        <v>161</v>
      </c>
      <c r="E106" t="s">
        <v>162</v>
      </c>
      <c r="F106">
        <v>2018</v>
      </c>
      <c r="G106" t="str">
        <f>_xlfn.XLOOKUP(Table1[[#This Row],[YOB]],Table2[YOB],Table2[Category])</f>
        <v>u8</v>
      </c>
      <c r="H106" t="s">
        <v>36</v>
      </c>
      <c r="I106" t="s">
        <v>23</v>
      </c>
      <c r="J106" t="s">
        <v>24</v>
      </c>
      <c r="K106" t="s">
        <v>25</v>
      </c>
      <c r="L106" t="s">
        <v>26</v>
      </c>
      <c r="M106" t="s">
        <v>27</v>
      </c>
      <c r="N106" t="s">
        <v>25</v>
      </c>
      <c r="O106" t="s">
        <v>28</v>
      </c>
      <c r="P106" t="s">
        <v>29</v>
      </c>
      <c r="Q106">
        <v>0</v>
      </c>
      <c r="R106" t="s">
        <v>30</v>
      </c>
      <c r="S106">
        <v>999</v>
      </c>
      <c r="T106">
        <v>999</v>
      </c>
      <c r="U106">
        <v>999</v>
      </c>
      <c r="V106">
        <v>999</v>
      </c>
      <c r="W106">
        <v>999</v>
      </c>
    </row>
    <row r="107" spans="1:23" x14ac:dyDescent="0.3">
      <c r="A107">
        <v>126967</v>
      </c>
      <c r="B107" t="str">
        <f>CONCATENATE(Table1[[#This Row],[Fname]]," ",Table1[[#This Row],[Lname]])</f>
        <v>Meredith Pozeg</v>
      </c>
      <c r="C107" t="str">
        <f>CONCATENATE(Table1[[#This Row],[Sex]],"-",Table1[[#This Row],[Column3]])</f>
        <v>F-u8</v>
      </c>
      <c r="D107" t="s">
        <v>166</v>
      </c>
      <c r="E107" t="s">
        <v>165</v>
      </c>
      <c r="F107">
        <v>2018</v>
      </c>
      <c r="G107" t="str">
        <f>_xlfn.XLOOKUP(Table1[[#This Row],[YOB]],Table2[YOB],Table2[Category])</f>
        <v>u8</v>
      </c>
      <c r="H107" t="s">
        <v>36</v>
      </c>
      <c r="I107" t="s">
        <v>23</v>
      </c>
      <c r="J107" t="s">
        <v>24</v>
      </c>
      <c r="K107" t="s">
        <v>25</v>
      </c>
      <c r="L107" t="s">
        <v>26</v>
      </c>
      <c r="M107" t="s">
        <v>27</v>
      </c>
      <c r="N107" t="s">
        <v>25</v>
      </c>
      <c r="O107" t="s">
        <v>28</v>
      </c>
      <c r="P107" t="s">
        <v>29</v>
      </c>
      <c r="Q107">
        <v>0</v>
      </c>
      <c r="R107" t="s">
        <v>30</v>
      </c>
      <c r="S107">
        <v>999</v>
      </c>
      <c r="T107">
        <v>999</v>
      </c>
      <c r="U107">
        <v>999</v>
      </c>
      <c r="V107">
        <v>999</v>
      </c>
      <c r="W107">
        <v>999</v>
      </c>
    </row>
    <row r="108" spans="1:23" x14ac:dyDescent="0.3">
      <c r="A108">
        <v>126969</v>
      </c>
      <c r="B108" t="str">
        <f>CONCATENATE(Table1[[#This Row],[Fname]]," ",Table1[[#This Row],[Lname]])</f>
        <v>Grace Reid</v>
      </c>
      <c r="C108" t="str">
        <f>CONCATENATE(Table1[[#This Row],[Sex]],"-",Table1[[#This Row],[Column3]])</f>
        <v>F-u8</v>
      </c>
      <c r="D108" t="s">
        <v>171</v>
      </c>
      <c r="E108" t="s">
        <v>170</v>
      </c>
      <c r="F108">
        <v>2018</v>
      </c>
      <c r="G108" t="str">
        <f>_xlfn.XLOOKUP(Table1[[#This Row],[YOB]],Table2[YOB],Table2[Category])</f>
        <v>u8</v>
      </c>
      <c r="H108" t="s">
        <v>36</v>
      </c>
      <c r="I108" t="s">
        <v>23</v>
      </c>
      <c r="J108" t="s">
        <v>24</v>
      </c>
      <c r="K108" t="s">
        <v>25</v>
      </c>
      <c r="L108" t="s">
        <v>26</v>
      </c>
      <c r="M108" t="s">
        <v>27</v>
      </c>
      <c r="N108" t="s">
        <v>25</v>
      </c>
      <c r="O108" t="s">
        <v>28</v>
      </c>
      <c r="P108" t="s">
        <v>29</v>
      </c>
      <c r="Q108">
        <v>0</v>
      </c>
      <c r="R108" t="s">
        <v>30</v>
      </c>
      <c r="S108">
        <v>999</v>
      </c>
      <c r="T108">
        <v>999</v>
      </c>
      <c r="U108">
        <v>999</v>
      </c>
      <c r="V108">
        <v>999</v>
      </c>
      <c r="W108">
        <v>999</v>
      </c>
    </row>
    <row r="109" spans="1:23" x14ac:dyDescent="0.3">
      <c r="A109">
        <v>126963</v>
      </c>
      <c r="B109" t="str">
        <f>CONCATENATE(Table1[[#This Row],[Fname]]," ",Table1[[#This Row],[Lname]])</f>
        <v>Sofia Wadhwani</v>
      </c>
      <c r="C109" t="str">
        <f>CONCATENATE(Table1[[#This Row],[Sex]],"-",Table1[[#This Row],[Column3]])</f>
        <v>F-u8</v>
      </c>
      <c r="D109" t="s">
        <v>154</v>
      </c>
      <c r="E109" t="s">
        <v>211</v>
      </c>
      <c r="F109">
        <v>2019</v>
      </c>
      <c r="G109" t="str">
        <f>_xlfn.XLOOKUP(Table1[[#This Row],[YOB]],Table2[YOB],Table2[Category])</f>
        <v>u8</v>
      </c>
      <c r="H109" t="s">
        <v>36</v>
      </c>
      <c r="I109" t="s">
        <v>23</v>
      </c>
      <c r="J109" t="s">
        <v>24</v>
      </c>
      <c r="K109" t="s">
        <v>25</v>
      </c>
      <c r="L109" t="s">
        <v>26</v>
      </c>
      <c r="M109" t="s">
        <v>27</v>
      </c>
      <c r="N109" t="s">
        <v>25</v>
      </c>
      <c r="O109" t="s">
        <v>28</v>
      </c>
      <c r="P109" t="s">
        <v>29</v>
      </c>
      <c r="Q109">
        <v>0</v>
      </c>
      <c r="R109" t="s">
        <v>30</v>
      </c>
      <c r="S109">
        <v>999</v>
      </c>
      <c r="T109">
        <v>999</v>
      </c>
      <c r="U109">
        <v>999</v>
      </c>
      <c r="V109">
        <v>999</v>
      </c>
      <c r="W109">
        <v>999</v>
      </c>
    </row>
    <row r="110" spans="1:23" x14ac:dyDescent="0.3">
      <c r="A110">
        <v>128650</v>
      </c>
      <c r="B110" t="str">
        <f>CONCATENATE(Table1[[#This Row],[Fname]]," ",Table1[[#This Row],[Lname]])</f>
        <v>Meliane Clavette</v>
      </c>
      <c r="C110" t="str">
        <f>CONCATENATE(Table1[[#This Row],[Sex]],"-",Table1[[#This Row],[Column3]])</f>
        <v>F-u8</v>
      </c>
      <c r="D110" t="s">
        <v>927</v>
      </c>
      <c r="E110" t="s">
        <v>926</v>
      </c>
      <c r="F110">
        <v>2019</v>
      </c>
      <c r="G110" t="str">
        <f>_xlfn.XLOOKUP(Table1[[#This Row],[YOB]],Table2[YOB],Table2[Category])</f>
        <v>u8</v>
      </c>
      <c r="H110" t="s">
        <v>36</v>
      </c>
      <c r="I110" t="s">
        <v>222</v>
      </c>
      <c r="J110" t="s">
        <v>223</v>
      </c>
      <c r="K110" t="s">
        <v>25</v>
      </c>
      <c r="L110" t="s">
        <v>26</v>
      </c>
      <c r="M110" t="s">
        <v>27</v>
      </c>
      <c r="N110" t="s">
        <v>25</v>
      </c>
      <c r="O110" t="s">
        <v>28</v>
      </c>
      <c r="P110" t="s">
        <v>29</v>
      </c>
      <c r="Q110">
        <v>0</v>
      </c>
      <c r="R110" t="s">
        <v>30</v>
      </c>
      <c r="S110">
        <v>999</v>
      </c>
      <c r="T110">
        <v>999</v>
      </c>
      <c r="U110">
        <v>999</v>
      </c>
      <c r="V110">
        <v>999</v>
      </c>
      <c r="W110">
        <v>999</v>
      </c>
    </row>
    <row r="111" spans="1:23" x14ac:dyDescent="0.3">
      <c r="A111">
        <v>127188</v>
      </c>
      <c r="B111" t="str">
        <f>CONCATENATE(Table1[[#This Row],[Fname]]," ",Table1[[#This Row],[Lname]])</f>
        <v>Alice Daigle</v>
      </c>
      <c r="C111" t="str">
        <f>CONCATENATE(Table1[[#This Row],[Sex]],"-",Table1[[#This Row],[Column3]])</f>
        <v>F-u8</v>
      </c>
      <c r="D111" t="s">
        <v>231</v>
      </c>
      <c r="E111" t="s">
        <v>230</v>
      </c>
      <c r="F111">
        <v>2019</v>
      </c>
      <c r="G111" t="str">
        <f>_xlfn.XLOOKUP(Table1[[#This Row],[YOB]],Table2[YOB],Table2[Category])</f>
        <v>u8</v>
      </c>
      <c r="H111" t="s">
        <v>36</v>
      </c>
      <c r="I111" t="s">
        <v>222</v>
      </c>
      <c r="J111" t="s">
        <v>223</v>
      </c>
      <c r="K111" t="s">
        <v>25</v>
      </c>
      <c r="L111" t="s">
        <v>26</v>
      </c>
      <c r="M111" t="s">
        <v>27</v>
      </c>
      <c r="N111" t="s">
        <v>25</v>
      </c>
      <c r="O111" t="s">
        <v>28</v>
      </c>
      <c r="P111" t="s">
        <v>29</v>
      </c>
      <c r="Q111">
        <v>0</v>
      </c>
      <c r="R111" t="s">
        <v>30</v>
      </c>
      <c r="S111">
        <v>999</v>
      </c>
      <c r="T111">
        <v>999</v>
      </c>
      <c r="U111">
        <v>999</v>
      </c>
      <c r="V111">
        <v>999</v>
      </c>
      <c r="W111">
        <v>999</v>
      </c>
    </row>
    <row r="112" spans="1:23" x14ac:dyDescent="0.3">
      <c r="A112">
        <v>124082</v>
      </c>
      <c r="B112" t="str">
        <f>CONCATENATE(Table1[[#This Row],[Fname]]," ",Table1[[#This Row],[Lname]])</f>
        <v>Gabriel Belanger</v>
      </c>
      <c r="C112" t="str">
        <f>CONCATENATE(Table1[[#This Row],[Sex]],"-",Table1[[#This Row],[Column3]])</f>
        <v>M-u10</v>
      </c>
      <c r="D112" t="s">
        <v>101</v>
      </c>
      <c r="E112" t="s">
        <v>264</v>
      </c>
      <c r="F112">
        <v>2016</v>
      </c>
      <c r="G112" t="str">
        <f>_xlfn.XLOOKUP(Table1[[#This Row],[YOB]],Table2[YOB],Table2[Category])</f>
        <v>u10</v>
      </c>
      <c r="H112" t="s">
        <v>22</v>
      </c>
      <c r="I112" t="s">
        <v>256</v>
      </c>
      <c r="J112" t="s">
        <v>257</v>
      </c>
      <c r="K112" t="s">
        <v>25</v>
      </c>
      <c r="L112" t="s">
        <v>26</v>
      </c>
      <c r="M112" t="s">
        <v>27</v>
      </c>
      <c r="N112" t="s">
        <v>25</v>
      </c>
      <c r="O112" t="s">
        <v>28</v>
      </c>
      <c r="P112" t="s">
        <v>29</v>
      </c>
      <c r="Q112">
        <v>0</v>
      </c>
      <c r="R112" t="s">
        <v>30</v>
      </c>
      <c r="S112">
        <v>999</v>
      </c>
      <c r="T112">
        <v>999</v>
      </c>
      <c r="U112">
        <v>999</v>
      </c>
      <c r="V112">
        <v>999</v>
      </c>
      <c r="W112">
        <v>999</v>
      </c>
    </row>
    <row r="113" spans="1:23" x14ac:dyDescent="0.3">
      <c r="A113">
        <v>127407</v>
      </c>
      <c r="B113" t="str">
        <f>CONCATENATE(Table1[[#This Row],[Fname]]," ",Table1[[#This Row],[Lname]])</f>
        <v>Eli Dykeman</v>
      </c>
      <c r="C113" t="str">
        <f>CONCATENATE(Table1[[#This Row],[Sex]],"-",Table1[[#This Row],[Column3]])</f>
        <v>M-u10</v>
      </c>
      <c r="D113" t="s">
        <v>283</v>
      </c>
      <c r="E113" t="s">
        <v>284</v>
      </c>
      <c r="F113">
        <v>2017</v>
      </c>
      <c r="G113" t="str">
        <f>_xlfn.XLOOKUP(Table1[[#This Row],[YOB]],Table2[YOB],Table2[Category])</f>
        <v>u10</v>
      </c>
      <c r="H113" t="s">
        <v>22</v>
      </c>
      <c r="I113" t="s">
        <v>256</v>
      </c>
      <c r="J113" t="s">
        <v>257</v>
      </c>
      <c r="K113" t="s">
        <v>25</v>
      </c>
      <c r="L113" t="s">
        <v>26</v>
      </c>
      <c r="M113" t="s">
        <v>27</v>
      </c>
      <c r="N113" t="s">
        <v>25</v>
      </c>
      <c r="O113" t="s">
        <v>28</v>
      </c>
      <c r="P113" t="s">
        <v>29</v>
      </c>
      <c r="Q113">
        <v>0</v>
      </c>
      <c r="R113" t="s">
        <v>30</v>
      </c>
      <c r="S113">
        <v>999</v>
      </c>
      <c r="T113">
        <v>999</v>
      </c>
      <c r="U113">
        <v>999</v>
      </c>
      <c r="V113">
        <v>999</v>
      </c>
      <c r="W113">
        <v>999</v>
      </c>
    </row>
    <row r="114" spans="1:23" x14ac:dyDescent="0.3">
      <c r="A114">
        <v>127406</v>
      </c>
      <c r="B114" t="str">
        <f>CONCATENATE(Table1[[#This Row],[Fname]]," ",Table1[[#This Row],[Lname]])</f>
        <v>Seth Dykeman</v>
      </c>
      <c r="C114" t="str">
        <f>CONCATENATE(Table1[[#This Row],[Sex]],"-",Table1[[#This Row],[Column3]])</f>
        <v>M-u10</v>
      </c>
      <c r="D114" t="s">
        <v>285</v>
      </c>
      <c r="E114" t="s">
        <v>284</v>
      </c>
      <c r="F114">
        <v>2016</v>
      </c>
      <c r="G114" t="str">
        <f>_xlfn.XLOOKUP(Table1[[#This Row],[YOB]],Table2[YOB],Table2[Category])</f>
        <v>u10</v>
      </c>
      <c r="H114" t="s">
        <v>22</v>
      </c>
      <c r="I114" t="s">
        <v>256</v>
      </c>
      <c r="J114" t="s">
        <v>257</v>
      </c>
      <c r="K114" t="s">
        <v>25</v>
      </c>
      <c r="L114" t="s">
        <v>26</v>
      </c>
      <c r="M114" t="s">
        <v>27</v>
      </c>
      <c r="N114" t="s">
        <v>25</v>
      </c>
      <c r="O114" t="s">
        <v>28</v>
      </c>
      <c r="P114" t="s">
        <v>29</v>
      </c>
      <c r="Q114">
        <v>0</v>
      </c>
      <c r="R114" t="s">
        <v>30</v>
      </c>
      <c r="S114">
        <v>999</v>
      </c>
      <c r="T114">
        <v>999</v>
      </c>
      <c r="U114">
        <v>999</v>
      </c>
      <c r="V114">
        <v>999</v>
      </c>
      <c r="W114">
        <v>999</v>
      </c>
    </row>
    <row r="115" spans="1:23" x14ac:dyDescent="0.3">
      <c r="A115">
        <v>122523</v>
      </c>
      <c r="B115" t="str">
        <f>CONCATENATE(Table1[[#This Row],[Fname]]," ",Table1[[#This Row],[Lname]])</f>
        <v>Ethan Lenehan</v>
      </c>
      <c r="C115" t="str">
        <f>CONCATENATE(Table1[[#This Row],[Sex]],"-",Table1[[#This Row],[Column3]])</f>
        <v>M-u10</v>
      </c>
      <c r="D115" t="s">
        <v>82</v>
      </c>
      <c r="E115" t="s">
        <v>300</v>
      </c>
      <c r="F115">
        <v>2017</v>
      </c>
      <c r="G115" t="str">
        <f>_xlfn.XLOOKUP(Table1[[#This Row],[YOB]],Table2[YOB],Table2[Category])</f>
        <v>u10</v>
      </c>
      <c r="H115" t="s">
        <v>22</v>
      </c>
      <c r="I115" t="s">
        <v>256</v>
      </c>
      <c r="J115" t="s">
        <v>257</v>
      </c>
      <c r="K115" t="s">
        <v>25</v>
      </c>
      <c r="L115" t="s">
        <v>26</v>
      </c>
      <c r="M115" t="s">
        <v>27</v>
      </c>
      <c r="N115" t="s">
        <v>25</v>
      </c>
      <c r="O115" t="s">
        <v>28</v>
      </c>
      <c r="P115" t="s">
        <v>29</v>
      </c>
      <c r="Q115">
        <v>0</v>
      </c>
      <c r="R115" t="s">
        <v>30</v>
      </c>
      <c r="S115">
        <v>999</v>
      </c>
      <c r="T115">
        <v>999</v>
      </c>
      <c r="U115">
        <v>999</v>
      </c>
      <c r="V115">
        <v>999</v>
      </c>
      <c r="W115">
        <v>999</v>
      </c>
    </row>
    <row r="116" spans="1:23" x14ac:dyDescent="0.3">
      <c r="A116">
        <v>127409</v>
      </c>
      <c r="B116" t="str">
        <f>CONCATENATE(Table1[[#This Row],[Fname]]," ",Table1[[#This Row],[Lname]])</f>
        <v>Ralph Little</v>
      </c>
      <c r="C116" t="str">
        <f>CONCATENATE(Table1[[#This Row],[Sex]],"-",Table1[[#This Row],[Column3]])</f>
        <v>M-u10</v>
      </c>
      <c r="D116" t="s">
        <v>302</v>
      </c>
      <c r="E116" t="s">
        <v>303</v>
      </c>
      <c r="F116">
        <v>2016</v>
      </c>
      <c r="G116" t="str">
        <f>_xlfn.XLOOKUP(Table1[[#This Row],[YOB]],Table2[YOB],Table2[Category])</f>
        <v>u10</v>
      </c>
      <c r="H116" t="s">
        <v>22</v>
      </c>
      <c r="I116" t="s">
        <v>256</v>
      </c>
      <c r="J116" t="s">
        <v>257</v>
      </c>
      <c r="K116" t="s">
        <v>25</v>
      </c>
      <c r="L116" t="s">
        <v>26</v>
      </c>
      <c r="M116" t="s">
        <v>27</v>
      </c>
      <c r="N116" t="s">
        <v>25</v>
      </c>
      <c r="O116" t="s">
        <v>28</v>
      </c>
      <c r="P116" t="s">
        <v>29</v>
      </c>
      <c r="Q116">
        <v>0</v>
      </c>
      <c r="R116" t="s">
        <v>30</v>
      </c>
      <c r="S116">
        <v>999</v>
      </c>
      <c r="T116">
        <v>999</v>
      </c>
      <c r="U116">
        <v>999</v>
      </c>
      <c r="V116">
        <v>999</v>
      </c>
      <c r="W116">
        <v>999</v>
      </c>
    </row>
    <row r="117" spans="1:23" x14ac:dyDescent="0.3">
      <c r="A117">
        <v>127402</v>
      </c>
      <c r="B117" t="str">
        <f>CONCATENATE(Table1[[#This Row],[Fname]]," ",Table1[[#This Row],[Lname]])</f>
        <v>Mason Maillet</v>
      </c>
      <c r="C117" t="str">
        <f>CONCATENATE(Table1[[#This Row],[Sex]],"-",Table1[[#This Row],[Column3]])</f>
        <v>M-u10</v>
      </c>
      <c r="D117" t="s">
        <v>308</v>
      </c>
      <c r="E117" t="s">
        <v>136</v>
      </c>
      <c r="F117">
        <v>2016</v>
      </c>
      <c r="G117" t="str">
        <f>_xlfn.XLOOKUP(Table1[[#This Row],[YOB]],Table2[YOB],Table2[Category])</f>
        <v>u10</v>
      </c>
      <c r="H117" t="s">
        <v>22</v>
      </c>
      <c r="I117" t="s">
        <v>256</v>
      </c>
      <c r="J117" t="s">
        <v>257</v>
      </c>
      <c r="K117" t="s">
        <v>25</v>
      </c>
      <c r="L117" t="s">
        <v>26</v>
      </c>
      <c r="M117" t="s">
        <v>27</v>
      </c>
      <c r="N117" t="s">
        <v>25</v>
      </c>
      <c r="O117" t="s">
        <v>28</v>
      </c>
      <c r="P117" t="s">
        <v>29</v>
      </c>
      <c r="Q117">
        <v>0</v>
      </c>
      <c r="R117" t="s">
        <v>30</v>
      </c>
      <c r="S117">
        <v>999</v>
      </c>
      <c r="T117">
        <v>999</v>
      </c>
      <c r="U117">
        <v>999</v>
      </c>
      <c r="V117">
        <v>999</v>
      </c>
      <c r="W117">
        <v>999</v>
      </c>
    </row>
    <row r="118" spans="1:23" x14ac:dyDescent="0.3">
      <c r="A118">
        <v>122502</v>
      </c>
      <c r="B118" t="str">
        <f>CONCATENATE(Table1[[#This Row],[Fname]]," ",Table1[[#This Row],[Lname]])</f>
        <v>Alex McMullen</v>
      </c>
      <c r="C118" t="str">
        <f>CONCATENATE(Table1[[#This Row],[Sex]],"-",Table1[[#This Row],[Column3]])</f>
        <v>M-u10</v>
      </c>
      <c r="D118" t="s">
        <v>310</v>
      </c>
      <c r="E118" t="s">
        <v>311</v>
      </c>
      <c r="F118">
        <v>2017</v>
      </c>
      <c r="G118" t="str">
        <f>_xlfn.XLOOKUP(Table1[[#This Row],[YOB]],Table2[YOB],Table2[Category])</f>
        <v>u10</v>
      </c>
      <c r="H118" t="s">
        <v>22</v>
      </c>
      <c r="I118" t="s">
        <v>256</v>
      </c>
      <c r="J118" t="s">
        <v>257</v>
      </c>
      <c r="K118" t="s">
        <v>25</v>
      </c>
      <c r="L118" t="s">
        <v>26</v>
      </c>
      <c r="M118" t="s">
        <v>27</v>
      </c>
      <c r="N118" t="s">
        <v>25</v>
      </c>
      <c r="O118" t="s">
        <v>28</v>
      </c>
      <c r="P118" t="s">
        <v>29</v>
      </c>
      <c r="Q118">
        <v>0</v>
      </c>
      <c r="R118" t="s">
        <v>30</v>
      </c>
      <c r="S118">
        <v>999</v>
      </c>
      <c r="T118">
        <v>999</v>
      </c>
      <c r="U118">
        <v>999</v>
      </c>
      <c r="V118">
        <v>999</v>
      </c>
      <c r="W118">
        <v>999</v>
      </c>
    </row>
    <row r="119" spans="1:23" x14ac:dyDescent="0.3">
      <c r="A119">
        <v>125596</v>
      </c>
      <c r="B119" t="str">
        <f>CONCATENATE(Table1[[#This Row],[Fname]]," ",Table1[[#This Row],[Lname]])</f>
        <v>Liam Mix</v>
      </c>
      <c r="C119" t="str">
        <f>CONCATENATE(Table1[[#This Row],[Sex]],"-",Table1[[#This Row],[Column3]])</f>
        <v>M-u10</v>
      </c>
      <c r="D119" t="s">
        <v>111</v>
      </c>
      <c r="E119" t="s">
        <v>314</v>
      </c>
      <c r="F119">
        <v>2017</v>
      </c>
      <c r="G119" t="str">
        <f>_xlfn.XLOOKUP(Table1[[#This Row],[YOB]],Table2[YOB],Table2[Category])</f>
        <v>u10</v>
      </c>
      <c r="H119" t="s">
        <v>22</v>
      </c>
      <c r="I119" t="s">
        <v>256</v>
      </c>
      <c r="J119" t="s">
        <v>257</v>
      </c>
      <c r="K119" t="s">
        <v>25</v>
      </c>
      <c r="L119" t="s">
        <v>26</v>
      </c>
      <c r="M119" t="s">
        <v>27</v>
      </c>
      <c r="N119" t="s">
        <v>25</v>
      </c>
      <c r="O119" t="s">
        <v>28</v>
      </c>
      <c r="P119" t="s">
        <v>29</v>
      </c>
      <c r="Q119">
        <v>0</v>
      </c>
      <c r="R119" t="s">
        <v>30</v>
      </c>
      <c r="S119">
        <v>999</v>
      </c>
      <c r="T119">
        <v>999</v>
      </c>
      <c r="U119">
        <v>999</v>
      </c>
      <c r="V119">
        <v>999</v>
      </c>
      <c r="W119">
        <v>999</v>
      </c>
    </row>
    <row r="120" spans="1:23" x14ac:dyDescent="0.3">
      <c r="A120">
        <v>124076</v>
      </c>
      <c r="B120" t="str">
        <f>CONCATENATE(Table1[[#This Row],[Fname]]," ",Table1[[#This Row],[Lname]])</f>
        <v>Alexander Pawluk</v>
      </c>
      <c r="C120" t="str">
        <f>CONCATENATE(Table1[[#This Row],[Sex]],"-",Table1[[#This Row],[Column3]])</f>
        <v>M-u10</v>
      </c>
      <c r="D120" t="s">
        <v>323</v>
      </c>
      <c r="E120" t="s">
        <v>324</v>
      </c>
      <c r="F120">
        <v>2016</v>
      </c>
      <c r="G120" t="str">
        <f>_xlfn.XLOOKUP(Table1[[#This Row],[YOB]],Table2[YOB],Table2[Category])</f>
        <v>u10</v>
      </c>
      <c r="H120" t="s">
        <v>22</v>
      </c>
      <c r="I120" t="s">
        <v>256</v>
      </c>
      <c r="J120" t="s">
        <v>257</v>
      </c>
      <c r="K120" t="s">
        <v>25</v>
      </c>
      <c r="L120" t="s">
        <v>26</v>
      </c>
      <c r="M120" t="s">
        <v>27</v>
      </c>
      <c r="N120" t="s">
        <v>25</v>
      </c>
      <c r="O120" t="s">
        <v>28</v>
      </c>
      <c r="P120" t="s">
        <v>29</v>
      </c>
      <c r="Q120">
        <v>0</v>
      </c>
      <c r="R120" t="s">
        <v>30</v>
      </c>
      <c r="S120">
        <v>999</v>
      </c>
      <c r="T120">
        <v>999</v>
      </c>
      <c r="U120">
        <v>999</v>
      </c>
      <c r="V120">
        <v>999</v>
      </c>
      <c r="W120">
        <v>999</v>
      </c>
    </row>
    <row r="121" spans="1:23" x14ac:dyDescent="0.3">
      <c r="A121">
        <v>127443</v>
      </c>
      <c r="B121" t="str">
        <f>CONCATENATE(Table1[[#This Row],[Fname]]," ",Table1[[#This Row],[Lname]])</f>
        <v>Ian Richmond-Waugh</v>
      </c>
      <c r="C121" t="str">
        <f>CONCATENATE(Table1[[#This Row],[Sex]],"-",Table1[[#This Row],[Column3]])</f>
        <v>M-u10</v>
      </c>
      <c r="D121" t="s">
        <v>333</v>
      </c>
      <c r="E121" t="s">
        <v>332</v>
      </c>
      <c r="F121">
        <v>2016</v>
      </c>
      <c r="G121" t="str">
        <f>_xlfn.XLOOKUP(Table1[[#This Row],[YOB]],Table2[YOB],Table2[Category])</f>
        <v>u10</v>
      </c>
      <c r="H121" t="s">
        <v>22</v>
      </c>
      <c r="I121" t="s">
        <v>256</v>
      </c>
      <c r="J121" t="s">
        <v>257</v>
      </c>
      <c r="K121" t="s">
        <v>25</v>
      </c>
      <c r="L121" t="s">
        <v>26</v>
      </c>
      <c r="M121" t="s">
        <v>27</v>
      </c>
      <c r="N121" t="s">
        <v>25</v>
      </c>
      <c r="O121" t="s">
        <v>28</v>
      </c>
      <c r="P121" t="s">
        <v>29</v>
      </c>
      <c r="Q121">
        <v>0</v>
      </c>
      <c r="R121" t="s">
        <v>30</v>
      </c>
      <c r="S121">
        <v>999</v>
      </c>
      <c r="T121">
        <v>999</v>
      </c>
      <c r="U121">
        <v>999</v>
      </c>
      <c r="V121">
        <v>999</v>
      </c>
      <c r="W121">
        <v>999</v>
      </c>
    </row>
    <row r="122" spans="1:23" x14ac:dyDescent="0.3">
      <c r="A122">
        <v>122521</v>
      </c>
      <c r="B122" t="str">
        <f>CONCATENATE(Table1[[#This Row],[Fname]]," ",Table1[[#This Row],[Lname]])</f>
        <v>Hudson Sharpe</v>
      </c>
      <c r="C122" t="str">
        <f>CONCATENATE(Table1[[#This Row],[Sex]],"-",Table1[[#This Row],[Column3]])</f>
        <v>M-u10</v>
      </c>
      <c r="D122" t="s">
        <v>296</v>
      </c>
      <c r="E122" t="s">
        <v>339</v>
      </c>
      <c r="F122">
        <v>2017</v>
      </c>
      <c r="G122" t="str">
        <f>_xlfn.XLOOKUP(Table1[[#This Row],[YOB]],Table2[YOB],Table2[Category])</f>
        <v>u10</v>
      </c>
      <c r="H122" t="s">
        <v>22</v>
      </c>
      <c r="I122" t="s">
        <v>256</v>
      </c>
      <c r="J122" t="s">
        <v>257</v>
      </c>
      <c r="K122" t="s">
        <v>25</v>
      </c>
      <c r="L122" t="s">
        <v>26</v>
      </c>
      <c r="M122" t="s">
        <v>27</v>
      </c>
      <c r="N122" t="s">
        <v>25</v>
      </c>
      <c r="O122" t="s">
        <v>28</v>
      </c>
      <c r="P122" t="s">
        <v>29</v>
      </c>
      <c r="Q122">
        <v>0</v>
      </c>
      <c r="R122" t="s">
        <v>30</v>
      </c>
      <c r="S122">
        <v>999</v>
      </c>
      <c r="T122">
        <v>999</v>
      </c>
      <c r="U122">
        <v>999</v>
      </c>
      <c r="V122">
        <v>999</v>
      </c>
      <c r="W122">
        <v>999</v>
      </c>
    </row>
    <row r="123" spans="1:23" x14ac:dyDescent="0.3">
      <c r="A123">
        <v>123572</v>
      </c>
      <c r="B123" t="str">
        <f>CONCATENATE(Table1[[#This Row],[Fname]]," ",Table1[[#This Row],[Lname]])</f>
        <v>Christian Basha</v>
      </c>
      <c r="C123" t="str">
        <f>CONCATENATE(Table1[[#This Row],[Sex]],"-",Table1[[#This Row],[Column3]])</f>
        <v>M-u10</v>
      </c>
      <c r="D123" t="s">
        <v>42</v>
      </c>
      <c r="E123" t="s">
        <v>43</v>
      </c>
      <c r="F123">
        <v>2016</v>
      </c>
      <c r="G123" t="str">
        <f>_xlfn.XLOOKUP(Table1[[#This Row],[YOB]],Table2[YOB],Table2[Category])</f>
        <v>u10</v>
      </c>
      <c r="H123" t="s">
        <v>22</v>
      </c>
      <c r="I123" t="s">
        <v>23</v>
      </c>
      <c r="J123" t="s">
        <v>24</v>
      </c>
      <c r="K123" t="s">
        <v>25</v>
      </c>
      <c r="L123" t="s">
        <v>26</v>
      </c>
      <c r="M123" t="s">
        <v>27</v>
      </c>
      <c r="N123" t="s">
        <v>25</v>
      </c>
      <c r="O123" t="s">
        <v>28</v>
      </c>
      <c r="P123" t="s">
        <v>29</v>
      </c>
      <c r="Q123">
        <v>0</v>
      </c>
      <c r="R123" t="s">
        <v>30</v>
      </c>
      <c r="S123">
        <v>999</v>
      </c>
      <c r="T123">
        <v>999</v>
      </c>
      <c r="U123">
        <v>999</v>
      </c>
      <c r="V123">
        <v>999</v>
      </c>
      <c r="W123">
        <v>999</v>
      </c>
    </row>
    <row r="124" spans="1:23" x14ac:dyDescent="0.3">
      <c r="A124">
        <v>126993</v>
      </c>
      <c r="B124" t="str">
        <f>CONCATENATE(Table1[[#This Row],[Fname]]," ",Table1[[#This Row],[Lname]])</f>
        <v>Greyer Basha</v>
      </c>
      <c r="C124" t="str">
        <f>CONCATENATE(Table1[[#This Row],[Sex]],"-",Table1[[#This Row],[Column3]])</f>
        <v>M-u10</v>
      </c>
      <c r="D124" t="s">
        <v>44</v>
      </c>
      <c r="E124" t="s">
        <v>43</v>
      </c>
      <c r="F124">
        <v>2016</v>
      </c>
      <c r="G124" t="str">
        <f>_xlfn.XLOOKUP(Table1[[#This Row],[YOB]],Table2[YOB],Table2[Category])</f>
        <v>u10</v>
      </c>
      <c r="H124" t="s">
        <v>22</v>
      </c>
      <c r="I124" t="s">
        <v>23</v>
      </c>
      <c r="J124" t="s">
        <v>24</v>
      </c>
      <c r="K124" t="s">
        <v>25</v>
      </c>
      <c r="L124" t="s">
        <v>26</v>
      </c>
      <c r="M124" t="s">
        <v>27</v>
      </c>
      <c r="N124" t="s">
        <v>25</v>
      </c>
      <c r="O124" t="s">
        <v>28</v>
      </c>
      <c r="P124" t="s">
        <v>29</v>
      </c>
      <c r="Q124">
        <v>0</v>
      </c>
      <c r="R124" t="s">
        <v>30</v>
      </c>
      <c r="S124">
        <v>999</v>
      </c>
      <c r="T124">
        <v>999</v>
      </c>
      <c r="U124">
        <v>999</v>
      </c>
      <c r="V124">
        <v>999</v>
      </c>
      <c r="W124">
        <v>999</v>
      </c>
    </row>
    <row r="125" spans="1:23" x14ac:dyDescent="0.3">
      <c r="A125">
        <v>114590</v>
      </c>
      <c r="B125" t="str">
        <f>CONCATENATE(Table1[[#This Row],[Fname]]," ",Table1[[#This Row],[Lname]])</f>
        <v>Johnnie Betts</v>
      </c>
      <c r="C125" t="str">
        <f>CONCATENATE(Table1[[#This Row],[Sex]],"-",Table1[[#This Row],[Column3]])</f>
        <v>M-u10</v>
      </c>
      <c r="D125" t="s">
        <v>54</v>
      </c>
      <c r="E125" t="s">
        <v>53</v>
      </c>
      <c r="F125">
        <v>2016</v>
      </c>
      <c r="G125" t="str">
        <f>_xlfn.XLOOKUP(Table1[[#This Row],[YOB]],Table2[YOB],Table2[Category])</f>
        <v>u10</v>
      </c>
      <c r="H125" t="s">
        <v>22</v>
      </c>
      <c r="I125" t="s">
        <v>23</v>
      </c>
      <c r="J125" t="s">
        <v>24</v>
      </c>
      <c r="K125" t="s">
        <v>25</v>
      </c>
      <c r="L125" t="s">
        <v>26</v>
      </c>
      <c r="M125" t="s">
        <v>27</v>
      </c>
      <c r="N125" t="s">
        <v>25</v>
      </c>
      <c r="O125" t="s">
        <v>28</v>
      </c>
      <c r="P125" t="s">
        <v>29</v>
      </c>
      <c r="Q125">
        <v>0</v>
      </c>
      <c r="R125" t="s">
        <v>30</v>
      </c>
      <c r="S125">
        <v>999</v>
      </c>
      <c r="T125">
        <v>999</v>
      </c>
      <c r="U125">
        <v>999</v>
      </c>
      <c r="V125">
        <v>999</v>
      </c>
      <c r="W125">
        <v>999</v>
      </c>
    </row>
    <row r="126" spans="1:23" x14ac:dyDescent="0.3">
      <c r="A126">
        <v>121117</v>
      </c>
      <c r="B126" t="str">
        <f>CONCATENATE(Table1[[#This Row],[Fname]]," ",Table1[[#This Row],[Lname]])</f>
        <v>Keaton Chandler</v>
      </c>
      <c r="C126" t="str">
        <f>CONCATENATE(Table1[[#This Row],[Sex]],"-",Table1[[#This Row],[Column3]])</f>
        <v>M-u10</v>
      </c>
      <c r="D126" t="s">
        <v>63</v>
      </c>
      <c r="E126" t="s">
        <v>64</v>
      </c>
      <c r="F126">
        <v>2017</v>
      </c>
      <c r="G126" t="str">
        <f>_xlfn.XLOOKUP(Table1[[#This Row],[YOB]],Table2[YOB],Table2[Category])</f>
        <v>u10</v>
      </c>
      <c r="H126" t="s">
        <v>22</v>
      </c>
      <c r="I126" t="s">
        <v>23</v>
      </c>
      <c r="J126" t="s">
        <v>24</v>
      </c>
      <c r="K126" t="s">
        <v>25</v>
      </c>
      <c r="L126" t="s">
        <v>26</v>
      </c>
      <c r="M126" t="s">
        <v>27</v>
      </c>
      <c r="N126" t="s">
        <v>25</v>
      </c>
      <c r="O126" t="s">
        <v>28</v>
      </c>
      <c r="P126" t="s">
        <v>29</v>
      </c>
      <c r="Q126">
        <v>0</v>
      </c>
      <c r="R126" t="s">
        <v>30</v>
      </c>
      <c r="S126">
        <v>999</v>
      </c>
      <c r="T126">
        <v>999</v>
      </c>
      <c r="U126">
        <v>999</v>
      </c>
      <c r="V126">
        <v>999</v>
      </c>
      <c r="W126">
        <v>999</v>
      </c>
    </row>
    <row r="127" spans="1:23" x14ac:dyDescent="0.3">
      <c r="A127">
        <v>121118</v>
      </c>
      <c r="B127" t="str">
        <f>CONCATENATE(Table1[[#This Row],[Fname]]," ",Table1[[#This Row],[Lname]])</f>
        <v>Kohen Cote</v>
      </c>
      <c r="C127" t="str">
        <f>CONCATENATE(Table1[[#This Row],[Sex]],"-",Table1[[#This Row],[Column3]])</f>
        <v>M-u10</v>
      </c>
      <c r="D127" t="s">
        <v>68</v>
      </c>
      <c r="E127" t="s">
        <v>67</v>
      </c>
      <c r="F127">
        <v>2016</v>
      </c>
      <c r="G127" t="str">
        <f>_xlfn.XLOOKUP(Table1[[#This Row],[YOB]],Table2[YOB],Table2[Category])</f>
        <v>u10</v>
      </c>
      <c r="H127" t="s">
        <v>22</v>
      </c>
      <c r="I127" t="s">
        <v>23</v>
      </c>
      <c r="J127" t="s">
        <v>24</v>
      </c>
      <c r="K127" t="s">
        <v>25</v>
      </c>
      <c r="L127" t="s">
        <v>26</v>
      </c>
      <c r="M127" t="s">
        <v>27</v>
      </c>
      <c r="N127" t="s">
        <v>25</v>
      </c>
      <c r="O127" t="s">
        <v>28</v>
      </c>
      <c r="P127" t="s">
        <v>29</v>
      </c>
      <c r="Q127">
        <v>0</v>
      </c>
      <c r="R127" t="s">
        <v>30</v>
      </c>
      <c r="S127">
        <v>999</v>
      </c>
      <c r="T127">
        <v>999</v>
      </c>
      <c r="U127">
        <v>999</v>
      </c>
      <c r="V127">
        <v>999</v>
      </c>
      <c r="W127">
        <v>999</v>
      </c>
    </row>
    <row r="128" spans="1:23" x14ac:dyDescent="0.3">
      <c r="A128">
        <v>123260</v>
      </c>
      <c r="B128" t="str">
        <f>CONCATENATE(Table1[[#This Row],[Fname]]," ",Table1[[#This Row],[Lname]])</f>
        <v>Angus Cunningham</v>
      </c>
      <c r="C128" t="str">
        <f>CONCATENATE(Table1[[#This Row],[Sex]],"-",Table1[[#This Row],[Column3]])</f>
        <v>M-u10</v>
      </c>
      <c r="D128" t="s">
        <v>69</v>
      </c>
      <c r="E128" t="s">
        <v>70</v>
      </c>
      <c r="F128">
        <v>2017</v>
      </c>
      <c r="G128" t="str">
        <f>_xlfn.XLOOKUP(Table1[[#This Row],[YOB]],Table2[YOB],Table2[Category])</f>
        <v>u10</v>
      </c>
      <c r="H128" t="s">
        <v>22</v>
      </c>
      <c r="I128" t="s">
        <v>23</v>
      </c>
      <c r="J128" t="s">
        <v>24</v>
      </c>
      <c r="K128" t="s">
        <v>25</v>
      </c>
      <c r="L128" t="s">
        <v>26</v>
      </c>
      <c r="M128" t="s">
        <v>27</v>
      </c>
      <c r="N128" t="s">
        <v>25</v>
      </c>
      <c r="O128" t="s">
        <v>28</v>
      </c>
      <c r="P128" t="s">
        <v>29</v>
      </c>
      <c r="Q128">
        <v>0</v>
      </c>
      <c r="R128" t="s">
        <v>30</v>
      </c>
      <c r="S128">
        <v>999</v>
      </c>
      <c r="T128">
        <v>999</v>
      </c>
      <c r="U128">
        <v>999</v>
      </c>
      <c r="V128">
        <v>999</v>
      </c>
      <c r="W128">
        <v>999</v>
      </c>
    </row>
    <row r="129" spans="1:23" x14ac:dyDescent="0.3">
      <c r="A129">
        <v>114596</v>
      </c>
      <c r="B129" t="str">
        <f>CONCATENATE(Table1[[#This Row],[Fname]]," ",Table1[[#This Row],[Lname]])</f>
        <v>Cameron Faulkner</v>
      </c>
      <c r="C129" t="str">
        <f>CONCATENATE(Table1[[#This Row],[Sex]],"-",Table1[[#This Row],[Column3]])</f>
        <v>M-u10</v>
      </c>
      <c r="D129" t="s">
        <v>80</v>
      </c>
      <c r="E129" t="s">
        <v>81</v>
      </c>
      <c r="F129">
        <v>2017</v>
      </c>
      <c r="G129" t="str">
        <f>_xlfn.XLOOKUP(Table1[[#This Row],[YOB]],Table2[YOB],Table2[Category])</f>
        <v>u10</v>
      </c>
      <c r="H129" t="s">
        <v>22</v>
      </c>
      <c r="I129" t="s">
        <v>23</v>
      </c>
      <c r="J129" t="s">
        <v>24</v>
      </c>
      <c r="K129" t="s">
        <v>25</v>
      </c>
      <c r="L129" t="s">
        <v>26</v>
      </c>
      <c r="M129" t="s">
        <v>27</v>
      </c>
      <c r="N129" t="s">
        <v>25</v>
      </c>
      <c r="O129" t="s">
        <v>28</v>
      </c>
      <c r="P129" t="s">
        <v>29</v>
      </c>
      <c r="Q129">
        <v>0</v>
      </c>
      <c r="R129" t="s">
        <v>30</v>
      </c>
      <c r="S129">
        <v>999</v>
      </c>
      <c r="T129">
        <v>999</v>
      </c>
      <c r="U129">
        <v>999</v>
      </c>
      <c r="V129">
        <v>999</v>
      </c>
      <c r="W129">
        <v>999</v>
      </c>
    </row>
    <row r="130" spans="1:23" x14ac:dyDescent="0.3">
      <c r="A130">
        <v>123266</v>
      </c>
      <c r="B130" t="str">
        <f>CONCATENATE(Table1[[#This Row],[Fname]]," ",Table1[[#This Row],[Lname]])</f>
        <v>Chase Gallant</v>
      </c>
      <c r="C130" t="str">
        <f>CONCATENATE(Table1[[#This Row],[Sex]],"-",Table1[[#This Row],[Column3]])</f>
        <v>M-u10</v>
      </c>
      <c r="D130" t="s">
        <v>90</v>
      </c>
      <c r="E130" t="s">
        <v>91</v>
      </c>
      <c r="F130">
        <v>2017</v>
      </c>
      <c r="G130" t="str">
        <f>_xlfn.XLOOKUP(Table1[[#This Row],[YOB]],Table2[YOB],Table2[Category])</f>
        <v>u10</v>
      </c>
      <c r="H130" t="s">
        <v>22</v>
      </c>
      <c r="I130" t="s">
        <v>23</v>
      </c>
      <c r="J130" t="s">
        <v>24</v>
      </c>
      <c r="K130" t="s">
        <v>25</v>
      </c>
      <c r="L130" t="s">
        <v>26</v>
      </c>
      <c r="M130" t="s">
        <v>27</v>
      </c>
      <c r="N130" t="s">
        <v>25</v>
      </c>
      <c r="O130" t="s">
        <v>28</v>
      </c>
      <c r="P130" t="s">
        <v>29</v>
      </c>
      <c r="Q130">
        <v>0</v>
      </c>
      <c r="R130" t="s">
        <v>30</v>
      </c>
      <c r="S130">
        <v>999</v>
      </c>
      <c r="T130">
        <v>999</v>
      </c>
      <c r="U130">
        <v>999</v>
      </c>
      <c r="V130">
        <v>999</v>
      </c>
      <c r="W130">
        <v>999</v>
      </c>
    </row>
    <row r="131" spans="1:23" x14ac:dyDescent="0.3">
      <c r="A131">
        <v>119869</v>
      </c>
      <c r="B131" t="str">
        <f>CONCATENATE(Table1[[#This Row],[Fname]]," ",Table1[[#This Row],[Lname]])</f>
        <v>Jaxon Maillet</v>
      </c>
      <c r="C131" t="str">
        <f>CONCATENATE(Table1[[#This Row],[Sex]],"-",Table1[[#This Row],[Column3]])</f>
        <v>M-u10</v>
      </c>
      <c r="D131" t="s">
        <v>135</v>
      </c>
      <c r="E131" t="s">
        <v>136</v>
      </c>
      <c r="F131">
        <v>2016</v>
      </c>
      <c r="G131" t="str">
        <f>_xlfn.XLOOKUP(Table1[[#This Row],[YOB]],Table2[YOB],Table2[Category])</f>
        <v>u10</v>
      </c>
      <c r="H131" t="s">
        <v>22</v>
      </c>
      <c r="I131" t="s">
        <v>23</v>
      </c>
      <c r="J131" t="s">
        <v>24</v>
      </c>
      <c r="K131" t="s">
        <v>25</v>
      </c>
      <c r="L131" t="s">
        <v>26</v>
      </c>
      <c r="M131" t="s">
        <v>27</v>
      </c>
      <c r="N131" t="s">
        <v>25</v>
      </c>
      <c r="O131" t="s">
        <v>28</v>
      </c>
      <c r="P131" t="s">
        <v>29</v>
      </c>
      <c r="Q131">
        <v>0</v>
      </c>
      <c r="R131" t="s">
        <v>30</v>
      </c>
      <c r="S131">
        <v>999</v>
      </c>
      <c r="T131">
        <v>999</v>
      </c>
      <c r="U131">
        <v>999</v>
      </c>
      <c r="V131">
        <v>999</v>
      </c>
      <c r="W131">
        <v>999</v>
      </c>
    </row>
    <row r="132" spans="1:23" x14ac:dyDescent="0.3">
      <c r="A132">
        <v>119895</v>
      </c>
      <c r="B132" t="str">
        <f>CONCATENATE(Table1[[#This Row],[Fname]]," ",Table1[[#This Row],[Lname]])</f>
        <v>Ira Matz</v>
      </c>
      <c r="C132" t="str">
        <f>CONCATENATE(Table1[[#This Row],[Sex]],"-",Table1[[#This Row],[Column3]])</f>
        <v>M-u10</v>
      </c>
      <c r="D132" t="s">
        <v>142</v>
      </c>
      <c r="E132" t="s">
        <v>143</v>
      </c>
      <c r="F132">
        <v>2017</v>
      </c>
      <c r="G132" t="str">
        <f>_xlfn.XLOOKUP(Table1[[#This Row],[YOB]],Table2[YOB],Table2[Category])</f>
        <v>u10</v>
      </c>
      <c r="H132" t="s">
        <v>22</v>
      </c>
      <c r="I132" t="s">
        <v>23</v>
      </c>
      <c r="J132" t="s">
        <v>24</v>
      </c>
      <c r="K132" t="s">
        <v>25</v>
      </c>
      <c r="L132" t="s">
        <v>26</v>
      </c>
      <c r="M132" t="s">
        <v>27</v>
      </c>
      <c r="N132" t="s">
        <v>25</v>
      </c>
      <c r="O132" t="s">
        <v>28</v>
      </c>
      <c r="P132" t="s">
        <v>29</v>
      </c>
      <c r="Q132">
        <v>0</v>
      </c>
      <c r="R132" t="s">
        <v>30</v>
      </c>
      <c r="S132">
        <v>999</v>
      </c>
      <c r="T132">
        <v>999</v>
      </c>
      <c r="U132">
        <v>999</v>
      </c>
      <c r="V132">
        <v>999</v>
      </c>
      <c r="W132">
        <v>999</v>
      </c>
    </row>
    <row r="133" spans="1:23" x14ac:dyDescent="0.3">
      <c r="A133">
        <v>126968</v>
      </c>
      <c r="B133" t="str">
        <f>CONCATENATE(Table1[[#This Row],[Fname]]," ",Table1[[#This Row],[Lname]])</f>
        <v>Thomas Mayer</v>
      </c>
      <c r="C133" t="str">
        <f>CONCATENATE(Table1[[#This Row],[Sex]],"-",Table1[[#This Row],[Column3]])</f>
        <v>M-u10</v>
      </c>
      <c r="D133" t="s">
        <v>147</v>
      </c>
      <c r="E133" t="s">
        <v>148</v>
      </c>
      <c r="F133">
        <v>2017</v>
      </c>
      <c r="G133" t="str">
        <f>_xlfn.XLOOKUP(Table1[[#This Row],[YOB]],Table2[YOB],Table2[Category])</f>
        <v>u10</v>
      </c>
      <c r="H133" t="s">
        <v>22</v>
      </c>
      <c r="I133" t="s">
        <v>23</v>
      </c>
      <c r="J133" t="s">
        <v>24</v>
      </c>
      <c r="K133" t="s">
        <v>25</v>
      </c>
      <c r="L133" t="s">
        <v>26</v>
      </c>
      <c r="M133" t="s">
        <v>27</v>
      </c>
      <c r="N133" t="s">
        <v>25</v>
      </c>
      <c r="O133" t="s">
        <v>28</v>
      </c>
      <c r="P133" t="s">
        <v>29</v>
      </c>
      <c r="Q133">
        <v>0</v>
      </c>
      <c r="R133" t="s">
        <v>30</v>
      </c>
      <c r="S133">
        <v>999</v>
      </c>
      <c r="T133">
        <v>999</v>
      </c>
      <c r="U133">
        <v>999</v>
      </c>
      <c r="V133">
        <v>999</v>
      </c>
      <c r="W133">
        <v>999</v>
      </c>
    </row>
    <row r="134" spans="1:23" x14ac:dyDescent="0.3">
      <c r="A134">
        <v>109946</v>
      </c>
      <c r="B134" t="str">
        <f>CONCATENATE(Table1[[#This Row],[Fname]]," ",Table1[[#This Row],[Lname]])</f>
        <v>Christopher Pearson</v>
      </c>
      <c r="C134" t="str">
        <f>CONCATENATE(Table1[[#This Row],[Sex]],"-",Table1[[#This Row],[Column3]])</f>
        <v>M-u10</v>
      </c>
      <c r="D134" t="s">
        <v>163</v>
      </c>
      <c r="E134" t="s">
        <v>162</v>
      </c>
      <c r="F134">
        <v>2016</v>
      </c>
      <c r="G134" t="str">
        <f>_xlfn.XLOOKUP(Table1[[#This Row],[YOB]],Table2[YOB],Table2[Category])</f>
        <v>u10</v>
      </c>
      <c r="H134" t="s">
        <v>22</v>
      </c>
      <c r="I134" t="s">
        <v>23</v>
      </c>
      <c r="J134" t="s">
        <v>24</v>
      </c>
      <c r="K134" t="s">
        <v>25</v>
      </c>
      <c r="L134" t="s">
        <v>26</v>
      </c>
      <c r="M134" t="s">
        <v>27</v>
      </c>
      <c r="N134" t="s">
        <v>25</v>
      </c>
      <c r="O134" t="s">
        <v>28</v>
      </c>
      <c r="P134" t="s">
        <v>29</v>
      </c>
      <c r="Q134">
        <v>0</v>
      </c>
      <c r="R134" t="s">
        <v>30</v>
      </c>
      <c r="S134">
        <v>999</v>
      </c>
      <c r="T134">
        <v>999</v>
      </c>
      <c r="U134">
        <v>999</v>
      </c>
      <c r="V134">
        <v>999</v>
      </c>
      <c r="W134">
        <v>999</v>
      </c>
    </row>
    <row r="135" spans="1:23" x14ac:dyDescent="0.3">
      <c r="A135">
        <v>121107</v>
      </c>
      <c r="B135" t="str">
        <f>CONCATENATE(Table1[[#This Row],[Fname]]," ",Table1[[#This Row],[Lname]])</f>
        <v>Felix Pozeg</v>
      </c>
      <c r="C135" t="str">
        <f>CONCATENATE(Table1[[#This Row],[Sex]],"-",Table1[[#This Row],[Column3]])</f>
        <v>M-u10</v>
      </c>
      <c r="D135" t="s">
        <v>164</v>
      </c>
      <c r="E135" t="s">
        <v>165</v>
      </c>
      <c r="F135">
        <v>2016</v>
      </c>
      <c r="G135" t="str">
        <f>_xlfn.XLOOKUP(Table1[[#This Row],[YOB]],Table2[YOB],Table2[Category])</f>
        <v>u10</v>
      </c>
      <c r="H135" t="s">
        <v>22</v>
      </c>
      <c r="I135" t="s">
        <v>23</v>
      </c>
      <c r="J135" t="s">
        <v>24</v>
      </c>
      <c r="K135" t="s">
        <v>25</v>
      </c>
      <c r="L135" t="s">
        <v>26</v>
      </c>
      <c r="M135" t="s">
        <v>27</v>
      </c>
      <c r="N135" t="s">
        <v>25</v>
      </c>
      <c r="O135" t="s">
        <v>28</v>
      </c>
      <c r="P135" t="s">
        <v>29</v>
      </c>
      <c r="Q135">
        <v>0</v>
      </c>
      <c r="R135" t="s">
        <v>30</v>
      </c>
      <c r="S135">
        <v>999</v>
      </c>
      <c r="T135">
        <v>999</v>
      </c>
      <c r="U135">
        <v>999</v>
      </c>
      <c r="V135">
        <v>999</v>
      </c>
      <c r="W135">
        <v>999</v>
      </c>
    </row>
    <row r="136" spans="1:23" x14ac:dyDescent="0.3">
      <c r="A136">
        <v>114614</v>
      </c>
      <c r="B136" t="str">
        <f>CONCATENATE(Table1[[#This Row],[Fname]]," ",Table1[[#This Row],[Lname]])</f>
        <v>Oliver Rackley</v>
      </c>
      <c r="C136" t="str">
        <f>CONCATENATE(Table1[[#This Row],[Sex]],"-",Table1[[#This Row],[Column3]])</f>
        <v>M-u10</v>
      </c>
      <c r="D136" t="s">
        <v>167</v>
      </c>
      <c r="E136" t="s">
        <v>168</v>
      </c>
      <c r="F136">
        <v>2016</v>
      </c>
      <c r="G136" t="str">
        <f>_xlfn.XLOOKUP(Table1[[#This Row],[YOB]],Table2[YOB],Table2[Category])</f>
        <v>u10</v>
      </c>
      <c r="H136" t="s">
        <v>22</v>
      </c>
      <c r="I136" t="s">
        <v>23</v>
      </c>
      <c r="J136" t="s">
        <v>24</v>
      </c>
      <c r="K136" t="s">
        <v>25</v>
      </c>
      <c r="L136" t="s">
        <v>26</v>
      </c>
      <c r="M136" t="s">
        <v>27</v>
      </c>
      <c r="N136" t="s">
        <v>25</v>
      </c>
      <c r="O136" t="s">
        <v>28</v>
      </c>
      <c r="P136" t="s">
        <v>29</v>
      </c>
      <c r="Q136">
        <v>0</v>
      </c>
      <c r="R136" t="s">
        <v>30</v>
      </c>
      <c r="S136">
        <v>999</v>
      </c>
      <c r="T136">
        <v>999</v>
      </c>
      <c r="U136">
        <v>999</v>
      </c>
      <c r="V136">
        <v>999</v>
      </c>
      <c r="W136">
        <v>999</v>
      </c>
    </row>
    <row r="137" spans="1:23" x14ac:dyDescent="0.3">
      <c r="A137">
        <v>128712</v>
      </c>
      <c r="B137" t="str">
        <f>CONCATENATE(Table1[[#This Row],[Fname]]," ",Table1[[#This Row],[Lname]])</f>
        <v>Sawyer Roy</v>
      </c>
      <c r="C137" t="str">
        <f>CONCATENATE(Table1[[#This Row],[Sex]],"-",Table1[[#This Row],[Column3]])</f>
        <v>M-u10</v>
      </c>
      <c r="D137" t="s">
        <v>923</v>
      </c>
      <c r="E137" t="s">
        <v>181</v>
      </c>
      <c r="F137">
        <v>2016</v>
      </c>
      <c r="G137" t="str">
        <f>_xlfn.XLOOKUP(Table1[[#This Row],[YOB]],Table2[YOB],Table2[Category])</f>
        <v>u10</v>
      </c>
      <c r="H137" t="s">
        <v>22</v>
      </c>
      <c r="I137" t="s">
        <v>23</v>
      </c>
      <c r="J137" t="s">
        <v>24</v>
      </c>
      <c r="K137" t="s">
        <v>25</v>
      </c>
      <c r="L137" t="s">
        <v>26</v>
      </c>
      <c r="M137" t="s">
        <v>27</v>
      </c>
      <c r="N137" t="s">
        <v>25</v>
      </c>
      <c r="O137" t="s">
        <v>28</v>
      </c>
      <c r="P137" t="s">
        <v>29</v>
      </c>
      <c r="Q137">
        <v>0</v>
      </c>
      <c r="R137" t="s">
        <v>30</v>
      </c>
      <c r="S137">
        <v>999</v>
      </c>
      <c r="T137">
        <v>999</v>
      </c>
      <c r="U137">
        <v>999</v>
      </c>
      <c r="V137">
        <v>999</v>
      </c>
      <c r="W137">
        <v>999</v>
      </c>
    </row>
    <row r="138" spans="1:23" x14ac:dyDescent="0.3">
      <c r="A138">
        <v>119891</v>
      </c>
      <c r="B138" t="str">
        <f>CONCATENATE(Table1[[#This Row],[Fname]]," ",Table1[[#This Row],[Lname]])</f>
        <v>Xander Sheehan</v>
      </c>
      <c r="C138" t="str">
        <f>CONCATENATE(Table1[[#This Row],[Sex]],"-",Table1[[#This Row],[Column3]])</f>
        <v>M-u10</v>
      </c>
      <c r="D138" t="s">
        <v>192</v>
      </c>
      <c r="E138" t="s">
        <v>191</v>
      </c>
      <c r="F138">
        <v>2016</v>
      </c>
      <c r="G138" t="str">
        <f>_xlfn.XLOOKUP(Table1[[#This Row],[YOB]],Table2[YOB],Table2[Category])</f>
        <v>u10</v>
      </c>
      <c r="H138" t="s">
        <v>22</v>
      </c>
      <c r="I138" t="s">
        <v>23</v>
      </c>
      <c r="J138" t="s">
        <v>24</v>
      </c>
      <c r="K138" t="s">
        <v>25</v>
      </c>
      <c r="L138" t="s">
        <v>26</v>
      </c>
      <c r="M138" t="s">
        <v>27</v>
      </c>
      <c r="N138" t="s">
        <v>25</v>
      </c>
      <c r="O138" t="s">
        <v>28</v>
      </c>
      <c r="P138" t="s">
        <v>29</v>
      </c>
      <c r="Q138">
        <v>0</v>
      </c>
      <c r="R138" t="s">
        <v>30</v>
      </c>
      <c r="S138">
        <v>999</v>
      </c>
      <c r="T138">
        <v>999</v>
      </c>
      <c r="U138">
        <v>999</v>
      </c>
      <c r="V138">
        <v>999</v>
      </c>
      <c r="W138">
        <v>999</v>
      </c>
    </row>
    <row r="139" spans="1:23" x14ac:dyDescent="0.3">
      <c r="A139">
        <v>126990</v>
      </c>
      <c r="B139" t="str">
        <f>CONCATENATE(Table1[[#This Row],[Fname]]," ",Table1[[#This Row],[Lname]])</f>
        <v>James Thibodeau</v>
      </c>
      <c r="C139" t="str">
        <f>CONCATENATE(Table1[[#This Row],[Sex]],"-",Table1[[#This Row],[Column3]])</f>
        <v>M-u10</v>
      </c>
      <c r="D139" t="s">
        <v>207</v>
      </c>
      <c r="E139" t="s">
        <v>206</v>
      </c>
      <c r="F139">
        <v>2017</v>
      </c>
      <c r="G139" t="str">
        <f>_xlfn.XLOOKUP(Table1[[#This Row],[YOB]],Table2[YOB],Table2[Category])</f>
        <v>u10</v>
      </c>
      <c r="H139" t="s">
        <v>22</v>
      </c>
      <c r="I139" t="s">
        <v>23</v>
      </c>
      <c r="J139" t="s">
        <v>24</v>
      </c>
      <c r="K139" t="s">
        <v>25</v>
      </c>
      <c r="L139" t="s">
        <v>26</v>
      </c>
      <c r="M139" t="s">
        <v>27</v>
      </c>
      <c r="N139" t="s">
        <v>25</v>
      </c>
      <c r="O139" t="s">
        <v>28</v>
      </c>
      <c r="P139" t="s">
        <v>29</v>
      </c>
      <c r="Q139">
        <v>0</v>
      </c>
      <c r="R139" t="s">
        <v>30</v>
      </c>
      <c r="S139">
        <v>999</v>
      </c>
      <c r="T139">
        <v>999</v>
      </c>
      <c r="U139">
        <v>999</v>
      </c>
      <c r="V139">
        <v>999</v>
      </c>
      <c r="W139">
        <v>999</v>
      </c>
    </row>
    <row r="140" spans="1:23" x14ac:dyDescent="0.3">
      <c r="A140">
        <v>121106</v>
      </c>
      <c r="B140" t="str">
        <f>CONCATENATE(Table1[[#This Row],[Fname]]," ",Table1[[#This Row],[Lname]])</f>
        <v>Ellis White</v>
      </c>
      <c r="C140" t="str">
        <f>CONCATENATE(Table1[[#This Row],[Sex]],"-",Table1[[#This Row],[Column3]])</f>
        <v>M-u10</v>
      </c>
      <c r="D140" t="s">
        <v>78</v>
      </c>
      <c r="E140" t="s">
        <v>214</v>
      </c>
      <c r="F140">
        <v>2016</v>
      </c>
      <c r="G140" t="str">
        <f>_xlfn.XLOOKUP(Table1[[#This Row],[YOB]],Table2[YOB],Table2[Category])</f>
        <v>u10</v>
      </c>
      <c r="H140" t="s">
        <v>22</v>
      </c>
      <c r="I140" t="s">
        <v>23</v>
      </c>
      <c r="J140" t="s">
        <v>24</v>
      </c>
      <c r="K140" t="s">
        <v>25</v>
      </c>
      <c r="L140" t="s">
        <v>26</v>
      </c>
      <c r="M140" t="s">
        <v>27</v>
      </c>
      <c r="N140" t="s">
        <v>25</v>
      </c>
      <c r="O140" t="s">
        <v>28</v>
      </c>
      <c r="P140" t="s">
        <v>29</v>
      </c>
      <c r="Q140">
        <v>0</v>
      </c>
      <c r="R140" t="s">
        <v>30</v>
      </c>
      <c r="S140">
        <v>999</v>
      </c>
      <c r="T140">
        <v>999</v>
      </c>
      <c r="U140">
        <v>999</v>
      </c>
      <c r="V140">
        <v>999</v>
      </c>
      <c r="W140">
        <v>999</v>
      </c>
    </row>
    <row r="141" spans="1:23" x14ac:dyDescent="0.3">
      <c r="A141">
        <v>123281</v>
      </c>
      <c r="B141" t="str">
        <f>CONCATENATE(Table1[[#This Row],[Fname]]," ",Table1[[#This Row],[Lname]])</f>
        <v>Yeats Wilson</v>
      </c>
      <c r="C141" t="str">
        <f>CONCATENATE(Table1[[#This Row],[Sex]],"-",Table1[[#This Row],[Column3]])</f>
        <v>M-u10</v>
      </c>
      <c r="D141" t="s">
        <v>218</v>
      </c>
      <c r="E141" t="s">
        <v>219</v>
      </c>
      <c r="F141">
        <v>2017</v>
      </c>
      <c r="G141" t="str">
        <f>_xlfn.XLOOKUP(Table1[[#This Row],[YOB]],Table2[YOB],Table2[Category])</f>
        <v>u10</v>
      </c>
      <c r="H141" t="s">
        <v>22</v>
      </c>
      <c r="I141" t="s">
        <v>23</v>
      </c>
      <c r="J141" t="s">
        <v>24</v>
      </c>
      <c r="K141" t="s">
        <v>25</v>
      </c>
      <c r="L141" t="s">
        <v>26</v>
      </c>
      <c r="M141" t="s">
        <v>27</v>
      </c>
      <c r="N141" t="s">
        <v>25</v>
      </c>
      <c r="O141" t="s">
        <v>28</v>
      </c>
      <c r="P141" t="s">
        <v>29</v>
      </c>
      <c r="Q141">
        <v>0</v>
      </c>
      <c r="R141" t="s">
        <v>30</v>
      </c>
      <c r="S141">
        <v>999</v>
      </c>
      <c r="T141">
        <v>999</v>
      </c>
      <c r="U141">
        <v>999</v>
      </c>
      <c r="V141">
        <v>999</v>
      </c>
      <c r="W141">
        <v>999</v>
      </c>
    </row>
    <row r="142" spans="1:23" x14ac:dyDescent="0.3">
      <c r="A142">
        <v>115513</v>
      </c>
      <c r="B142" t="str">
        <f>CONCATENATE(Table1[[#This Row],[Fname]]," ",Table1[[#This Row],[Lname]])</f>
        <v>Maxime Daigle</v>
      </c>
      <c r="C142" t="str">
        <f>CONCATENATE(Table1[[#This Row],[Sex]],"-",Table1[[#This Row],[Column3]])</f>
        <v>M-u10</v>
      </c>
      <c r="D142" t="s">
        <v>233</v>
      </c>
      <c r="E142" t="s">
        <v>230</v>
      </c>
      <c r="F142">
        <v>2016</v>
      </c>
      <c r="G142" t="str">
        <f>_xlfn.XLOOKUP(Table1[[#This Row],[YOB]],Table2[YOB],Table2[Category])</f>
        <v>u10</v>
      </c>
      <c r="H142" t="s">
        <v>22</v>
      </c>
      <c r="I142" t="s">
        <v>222</v>
      </c>
      <c r="J142" t="s">
        <v>223</v>
      </c>
      <c r="K142" t="s">
        <v>25</v>
      </c>
      <c r="L142" t="s">
        <v>26</v>
      </c>
      <c r="M142" t="s">
        <v>27</v>
      </c>
      <c r="N142" t="s">
        <v>25</v>
      </c>
      <c r="O142" t="s">
        <v>28</v>
      </c>
      <c r="P142" t="s">
        <v>29</v>
      </c>
      <c r="Q142">
        <v>0</v>
      </c>
      <c r="R142" t="s">
        <v>30</v>
      </c>
      <c r="S142">
        <v>999</v>
      </c>
      <c r="T142">
        <v>999</v>
      </c>
      <c r="U142">
        <v>999</v>
      </c>
      <c r="V142">
        <v>999</v>
      </c>
      <c r="W142">
        <v>999</v>
      </c>
    </row>
    <row r="143" spans="1:23" x14ac:dyDescent="0.3">
      <c r="A143">
        <v>120521</v>
      </c>
      <c r="B143" t="str">
        <f>CONCATENATE(Table1[[#This Row],[Fname]]," ",Table1[[#This Row],[Lname]])</f>
        <v>Liko Andersen Duguay</v>
      </c>
      <c r="C143" t="str">
        <f>CONCATENATE(Table1[[#This Row],[Sex]],"-",Table1[[#This Row],[Column3]])</f>
        <v>M-u10</v>
      </c>
      <c r="D143" t="s">
        <v>236</v>
      </c>
      <c r="E143" t="s">
        <v>235</v>
      </c>
      <c r="F143">
        <v>2017</v>
      </c>
      <c r="G143" t="str">
        <f>_xlfn.XLOOKUP(Table1[[#This Row],[YOB]],Table2[YOB],Table2[Category])</f>
        <v>u10</v>
      </c>
      <c r="H143" t="s">
        <v>22</v>
      </c>
      <c r="I143" t="s">
        <v>222</v>
      </c>
      <c r="J143" t="s">
        <v>223</v>
      </c>
      <c r="K143" t="s">
        <v>25</v>
      </c>
      <c r="L143" t="s">
        <v>26</v>
      </c>
      <c r="M143" t="s">
        <v>27</v>
      </c>
      <c r="N143" t="s">
        <v>25</v>
      </c>
      <c r="O143" t="s">
        <v>28</v>
      </c>
      <c r="P143" t="s">
        <v>29</v>
      </c>
      <c r="Q143">
        <v>0</v>
      </c>
      <c r="R143" t="s">
        <v>30</v>
      </c>
      <c r="S143">
        <v>999</v>
      </c>
      <c r="T143">
        <v>999</v>
      </c>
      <c r="U143">
        <v>999</v>
      </c>
      <c r="V143">
        <v>999</v>
      </c>
      <c r="W143">
        <v>999</v>
      </c>
    </row>
    <row r="144" spans="1:23" x14ac:dyDescent="0.3">
      <c r="A144">
        <v>118683</v>
      </c>
      <c r="B144" t="str">
        <f>CONCATENATE(Table1[[#This Row],[Fname]]," ",Table1[[#This Row],[Lname]])</f>
        <v>Malik Laplante</v>
      </c>
      <c r="C144" t="str">
        <f>CONCATENATE(Table1[[#This Row],[Sex]],"-",Table1[[#This Row],[Column3]])</f>
        <v>M-u10</v>
      </c>
      <c r="D144" t="s">
        <v>239</v>
      </c>
      <c r="E144" t="s">
        <v>240</v>
      </c>
      <c r="F144">
        <v>2016</v>
      </c>
      <c r="G144" t="str">
        <f>_xlfn.XLOOKUP(Table1[[#This Row],[YOB]],Table2[YOB],Table2[Category])</f>
        <v>u10</v>
      </c>
      <c r="H144" t="s">
        <v>22</v>
      </c>
      <c r="I144" t="s">
        <v>222</v>
      </c>
      <c r="J144" t="s">
        <v>223</v>
      </c>
      <c r="K144" t="s">
        <v>25</v>
      </c>
      <c r="L144" t="s">
        <v>26</v>
      </c>
      <c r="M144" t="s">
        <v>27</v>
      </c>
      <c r="N144" t="s">
        <v>25</v>
      </c>
      <c r="O144" t="s">
        <v>28</v>
      </c>
      <c r="P144" t="s">
        <v>29</v>
      </c>
      <c r="Q144">
        <v>0</v>
      </c>
      <c r="R144" t="s">
        <v>30</v>
      </c>
      <c r="S144">
        <v>999</v>
      </c>
      <c r="T144">
        <v>999</v>
      </c>
      <c r="U144">
        <v>999</v>
      </c>
      <c r="V144">
        <v>999</v>
      </c>
      <c r="W144">
        <v>999</v>
      </c>
    </row>
    <row r="145" spans="1:23" x14ac:dyDescent="0.3">
      <c r="A145">
        <v>120290</v>
      </c>
      <c r="B145" t="str">
        <f>CONCATENATE(Table1[[#This Row],[Fname]]," ",Table1[[#This Row],[Lname]])</f>
        <v>Alexandre Roy</v>
      </c>
      <c r="C145" t="str">
        <f>CONCATENATE(Table1[[#This Row],[Sex]],"-",Table1[[#This Row],[Column3]])</f>
        <v>M-u10</v>
      </c>
      <c r="D145" t="s">
        <v>247</v>
      </c>
      <c r="E145" t="s">
        <v>181</v>
      </c>
      <c r="F145">
        <v>2016</v>
      </c>
      <c r="G145" t="str">
        <f>_xlfn.XLOOKUP(Table1[[#This Row],[YOB]],Table2[YOB],Table2[Category])</f>
        <v>u10</v>
      </c>
      <c r="H145" t="s">
        <v>22</v>
      </c>
      <c r="I145" t="s">
        <v>222</v>
      </c>
      <c r="J145" t="s">
        <v>223</v>
      </c>
      <c r="K145" t="s">
        <v>25</v>
      </c>
      <c r="L145" t="s">
        <v>26</v>
      </c>
      <c r="M145" t="s">
        <v>27</v>
      </c>
      <c r="N145" t="s">
        <v>25</v>
      </c>
      <c r="O145" t="s">
        <v>28</v>
      </c>
      <c r="P145" t="s">
        <v>29</v>
      </c>
      <c r="Q145">
        <v>0</v>
      </c>
      <c r="R145" t="s">
        <v>30</v>
      </c>
      <c r="S145">
        <v>999</v>
      </c>
      <c r="T145">
        <v>999</v>
      </c>
      <c r="U145">
        <v>999</v>
      </c>
      <c r="V145">
        <v>999</v>
      </c>
      <c r="W145">
        <v>999</v>
      </c>
    </row>
    <row r="146" spans="1:23" x14ac:dyDescent="0.3">
      <c r="A146">
        <v>120577</v>
      </c>
      <c r="B146" t="str">
        <f>CONCATENATE(Table1[[#This Row],[Fname]]," ",Table1[[#This Row],[Lname]])</f>
        <v>Jake Theriault</v>
      </c>
      <c r="C146" t="str">
        <f>CONCATENATE(Table1[[#This Row],[Sex]],"-",Table1[[#This Row],[Column3]])</f>
        <v>M-u10</v>
      </c>
      <c r="D146" t="s">
        <v>250</v>
      </c>
      <c r="E146" t="s">
        <v>251</v>
      </c>
      <c r="F146">
        <v>2017</v>
      </c>
      <c r="G146" t="str">
        <f>_xlfn.XLOOKUP(Table1[[#This Row],[YOB]],Table2[YOB],Table2[Category])</f>
        <v>u10</v>
      </c>
      <c r="H146" t="s">
        <v>22</v>
      </c>
      <c r="I146" t="s">
        <v>222</v>
      </c>
      <c r="J146" t="s">
        <v>223</v>
      </c>
      <c r="K146" t="s">
        <v>25</v>
      </c>
      <c r="L146" t="s">
        <v>26</v>
      </c>
      <c r="M146" t="s">
        <v>27</v>
      </c>
      <c r="N146" t="s">
        <v>25</v>
      </c>
      <c r="O146" t="s">
        <v>28</v>
      </c>
      <c r="P146" t="s">
        <v>29</v>
      </c>
      <c r="Q146">
        <v>0</v>
      </c>
      <c r="R146" t="s">
        <v>30</v>
      </c>
      <c r="S146">
        <v>999</v>
      </c>
      <c r="T146">
        <v>999</v>
      </c>
      <c r="U146">
        <v>999</v>
      </c>
      <c r="V146">
        <v>999</v>
      </c>
      <c r="W146">
        <v>999</v>
      </c>
    </row>
    <row r="147" spans="1:23" x14ac:dyDescent="0.3">
      <c r="A147">
        <v>124081</v>
      </c>
      <c r="B147" t="str">
        <f>CONCATENATE(Table1[[#This Row],[Fname]]," ",Table1[[#This Row],[Lname]])</f>
        <v>Samuel Belanger</v>
      </c>
      <c r="C147" t="str">
        <f>CONCATENATE(Table1[[#This Row],[Sex]],"-",Table1[[#This Row],[Column3]])</f>
        <v>M-u12</v>
      </c>
      <c r="D147" t="s">
        <v>265</v>
      </c>
      <c r="E147" t="s">
        <v>264</v>
      </c>
      <c r="F147">
        <v>2015</v>
      </c>
      <c r="G147" t="str">
        <f>_xlfn.XLOOKUP(Table1[[#This Row],[YOB]],Table2[YOB],Table2[Category])</f>
        <v>u12</v>
      </c>
      <c r="H147" t="s">
        <v>22</v>
      </c>
      <c r="I147" t="s">
        <v>256</v>
      </c>
      <c r="J147" t="s">
        <v>257</v>
      </c>
      <c r="K147" t="s">
        <v>25</v>
      </c>
      <c r="L147" t="s">
        <v>26</v>
      </c>
      <c r="M147" t="s">
        <v>27</v>
      </c>
      <c r="N147" t="s">
        <v>25</v>
      </c>
      <c r="O147" t="s">
        <v>32</v>
      </c>
      <c r="P147" t="s">
        <v>33</v>
      </c>
      <c r="Q147">
        <v>0</v>
      </c>
      <c r="R147" t="s">
        <v>30</v>
      </c>
      <c r="S147">
        <v>999</v>
      </c>
      <c r="T147">
        <v>999</v>
      </c>
      <c r="U147">
        <v>999</v>
      </c>
      <c r="V147">
        <v>999</v>
      </c>
      <c r="W147">
        <v>999</v>
      </c>
    </row>
    <row r="148" spans="1:23" x14ac:dyDescent="0.3">
      <c r="A148">
        <v>124078</v>
      </c>
      <c r="B148" t="str">
        <f>CONCATENATE(Table1[[#This Row],[Fname]]," ",Table1[[#This Row],[Lname]])</f>
        <v>Sterling Burgess</v>
      </c>
      <c r="C148" t="str">
        <f>CONCATENATE(Table1[[#This Row],[Sex]],"-",Table1[[#This Row],[Column3]])</f>
        <v>M-u12</v>
      </c>
      <c r="D148" t="s">
        <v>269</v>
      </c>
      <c r="E148" t="s">
        <v>268</v>
      </c>
      <c r="F148">
        <v>2015</v>
      </c>
      <c r="G148" t="str">
        <f>_xlfn.XLOOKUP(Table1[[#This Row],[YOB]],Table2[YOB],Table2[Category])</f>
        <v>u12</v>
      </c>
      <c r="H148" t="s">
        <v>22</v>
      </c>
      <c r="I148" t="s">
        <v>256</v>
      </c>
      <c r="J148" t="s">
        <v>257</v>
      </c>
      <c r="K148" t="s">
        <v>25</v>
      </c>
      <c r="L148" t="s">
        <v>26</v>
      </c>
      <c r="M148" t="s">
        <v>27</v>
      </c>
      <c r="N148" t="s">
        <v>25</v>
      </c>
      <c r="O148" t="s">
        <v>32</v>
      </c>
      <c r="P148" t="s">
        <v>33</v>
      </c>
      <c r="Q148">
        <v>0</v>
      </c>
      <c r="R148" t="s">
        <v>30</v>
      </c>
      <c r="S148">
        <v>999</v>
      </c>
      <c r="T148">
        <v>999</v>
      </c>
      <c r="U148">
        <v>999</v>
      </c>
      <c r="V148">
        <v>999</v>
      </c>
      <c r="W148">
        <v>999</v>
      </c>
    </row>
    <row r="149" spans="1:23" x14ac:dyDescent="0.3">
      <c r="A149">
        <v>124075</v>
      </c>
      <c r="B149" t="str">
        <f>CONCATENATE(Table1[[#This Row],[Fname]]," ",Table1[[#This Row],[Lname]])</f>
        <v>Oliver Gorham</v>
      </c>
      <c r="C149" t="str">
        <f>CONCATENATE(Table1[[#This Row],[Sex]],"-",Table1[[#This Row],[Column3]])</f>
        <v>M-u12</v>
      </c>
      <c r="D149" t="s">
        <v>167</v>
      </c>
      <c r="E149" t="s">
        <v>290</v>
      </c>
      <c r="F149">
        <v>2015</v>
      </c>
      <c r="G149" t="str">
        <f>_xlfn.XLOOKUP(Table1[[#This Row],[YOB]],Table2[YOB],Table2[Category])</f>
        <v>u12</v>
      </c>
      <c r="H149" t="s">
        <v>22</v>
      </c>
      <c r="I149" t="s">
        <v>256</v>
      </c>
      <c r="J149" t="s">
        <v>257</v>
      </c>
      <c r="K149" t="s">
        <v>25</v>
      </c>
      <c r="L149" t="s">
        <v>26</v>
      </c>
      <c r="M149" t="s">
        <v>27</v>
      </c>
      <c r="N149" t="s">
        <v>25</v>
      </c>
      <c r="O149" t="s">
        <v>32</v>
      </c>
      <c r="P149" t="s">
        <v>33</v>
      </c>
      <c r="Q149">
        <v>0</v>
      </c>
      <c r="R149" t="s">
        <v>30</v>
      </c>
      <c r="S149">
        <v>999</v>
      </c>
      <c r="T149">
        <v>999</v>
      </c>
      <c r="U149">
        <v>999</v>
      </c>
      <c r="V149">
        <v>999</v>
      </c>
      <c r="W149">
        <v>999</v>
      </c>
    </row>
    <row r="150" spans="1:23" x14ac:dyDescent="0.3">
      <c r="A150">
        <v>121964</v>
      </c>
      <c r="B150" t="str">
        <f>CONCATENATE(Table1[[#This Row],[Fname]]," ",Table1[[#This Row],[Lname]])</f>
        <v>Sam Hall</v>
      </c>
      <c r="C150" t="str">
        <f>CONCATENATE(Table1[[#This Row],[Sex]],"-",Table1[[#This Row],[Column3]])</f>
        <v>M-u12</v>
      </c>
      <c r="D150" t="s">
        <v>294</v>
      </c>
      <c r="E150" t="s">
        <v>293</v>
      </c>
      <c r="F150">
        <v>2014</v>
      </c>
      <c r="G150" t="str">
        <f>_xlfn.XLOOKUP(Table1[[#This Row],[YOB]],Table2[YOB],Table2[Category])</f>
        <v>u12</v>
      </c>
      <c r="H150" t="s">
        <v>22</v>
      </c>
      <c r="I150" t="s">
        <v>256</v>
      </c>
      <c r="J150" t="s">
        <v>257</v>
      </c>
      <c r="K150" t="s">
        <v>25</v>
      </c>
      <c r="L150" t="s">
        <v>26</v>
      </c>
      <c r="M150" t="s">
        <v>27</v>
      </c>
      <c r="N150" t="s">
        <v>25</v>
      </c>
      <c r="O150" t="s">
        <v>32</v>
      </c>
      <c r="P150" t="s">
        <v>33</v>
      </c>
      <c r="Q150">
        <v>0</v>
      </c>
      <c r="R150" t="s">
        <v>30</v>
      </c>
      <c r="S150">
        <v>999</v>
      </c>
      <c r="T150">
        <v>999</v>
      </c>
      <c r="U150">
        <v>999</v>
      </c>
      <c r="V150">
        <v>999</v>
      </c>
      <c r="W150">
        <v>999</v>
      </c>
    </row>
    <row r="151" spans="1:23" x14ac:dyDescent="0.3">
      <c r="A151">
        <v>120661</v>
      </c>
      <c r="B151" t="str">
        <f>CONCATENATE(Table1[[#This Row],[Fname]]," ",Table1[[#This Row],[Lname]])</f>
        <v>Matthew MacLean</v>
      </c>
      <c r="C151" t="str">
        <f>CONCATENATE(Table1[[#This Row],[Sex]],"-",Table1[[#This Row],[Column3]])</f>
        <v>M-u12</v>
      </c>
      <c r="D151" t="s">
        <v>304</v>
      </c>
      <c r="E151" t="s">
        <v>305</v>
      </c>
      <c r="F151">
        <v>2015</v>
      </c>
      <c r="G151" t="str">
        <f>_xlfn.XLOOKUP(Table1[[#This Row],[YOB]],Table2[YOB],Table2[Category])</f>
        <v>u12</v>
      </c>
      <c r="H151" t="s">
        <v>22</v>
      </c>
      <c r="I151" t="s">
        <v>256</v>
      </c>
      <c r="J151" t="s">
        <v>257</v>
      </c>
      <c r="K151" t="s">
        <v>25</v>
      </c>
      <c r="L151" t="s">
        <v>26</v>
      </c>
      <c r="M151" t="s">
        <v>27</v>
      </c>
      <c r="N151" t="s">
        <v>25</v>
      </c>
      <c r="O151" t="s">
        <v>32</v>
      </c>
      <c r="P151" t="s">
        <v>33</v>
      </c>
      <c r="Q151">
        <v>0</v>
      </c>
      <c r="R151" t="s">
        <v>30</v>
      </c>
      <c r="S151">
        <v>999</v>
      </c>
      <c r="T151">
        <v>999</v>
      </c>
      <c r="U151">
        <v>999</v>
      </c>
      <c r="V151">
        <v>999</v>
      </c>
      <c r="W151">
        <v>999</v>
      </c>
    </row>
    <row r="152" spans="1:23" x14ac:dyDescent="0.3">
      <c r="A152">
        <v>120809</v>
      </c>
      <c r="B152" t="str">
        <f>CONCATENATE(Table1[[#This Row],[Fname]]," ",Table1[[#This Row],[Lname]])</f>
        <v>River Moser</v>
      </c>
      <c r="C152" t="str">
        <f>CONCATENATE(Table1[[#This Row],[Sex]],"-",Table1[[#This Row],[Column3]])</f>
        <v>M-u12</v>
      </c>
      <c r="D152" t="s">
        <v>316</v>
      </c>
      <c r="E152" t="s">
        <v>315</v>
      </c>
      <c r="F152">
        <v>2014</v>
      </c>
      <c r="G152" t="str">
        <f>_xlfn.XLOOKUP(Table1[[#This Row],[YOB]],Table2[YOB],Table2[Category])</f>
        <v>u12</v>
      </c>
      <c r="H152" t="s">
        <v>22</v>
      </c>
      <c r="I152" t="s">
        <v>256</v>
      </c>
      <c r="J152" t="s">
        <v>257</v>
      </c>
      <c r="K152" t="s">
        <v>25</v>
      </c>
      <c r="L152" t="s">
        <v>26</v>
      </c>
      <c r="M152" t="s">
        <v>27</v>
      </c>
      <c r="N152" t="s">
        <v>25</v>
      </c>
      <c r="O152" t="s">
        <v>32</v>
      </c>
      <c r="P152" t="s">
        <v>33</v>
      </c>
      <c r="Q152">
        <v>0</v>
      </c>
      <c r="R152" t="s">
        <v>30</v>
      </c>
      <c r="S152">
        <v>999</v>
      </c>
      <c r="T152">
        <v>999</v>
      </c>
      <c r="U152">
        <v>999</v>
      </c>
      <c r="V152">
        <v>999</v>
      </c>
      <c r="W152">
        <v>999</v>
      </c>
    </row>
    <row r="153" spans="1:23" x14ac:dyDescent="0.3">
      <c r="A153">
        <v>119078</v>
      </c>
      <c r="B153" t="str">
        <f>CONCATENATE(Table1[[#This Row],[Fname]]," ",Table1[[#This Row],[Lname]])</f>
        <v>Owen Russon</v>
      </c>
      <c r="C153" t="str">
        <f>CONCATENATE(Table1[[#This Row],[Sex]],"-",Table1[[#This Row],[Column3]])</f>
        <v>M-u12</v>
      </c>
      <c r="D153" t="s">
        <v>337</v>
      </c>
      <c r="E153" t="s">
        <v>336</v>
      </c>
      <c r="F153">
        <v>2015</v>
      </c>
      <c r="G153" t="str">
        <f>_xlfn.XLOOKUP(Table1[[#This Row],[YOB]],Table2[YOB],Table2[Category])</f>
        <v>u12</v>
      </c>
      <c r="H153" t="s">
        <v>22</v>
      </c>
      <c r="I153" t="s">
        <v>256</v>
      </c>
      <c r="J153" t="s">
        <v>257</v>
      </c>
      <c r="K153" t="s">
        <v>25</v>
      </c>
      <c r="L153" t="s">
        <v>26</v>
      </c>
      <c r="M153" t="s">
        <v>27</v>
      </c>
      <c r="N153" t="s">
        <v>25</v>
      </c>
      <c r="O153" t="s">
        <v>32</v>
      </c>
      <c r="P153" t="s">
        <v>33</v>
      </c>
      <c r="Q153">
        <v>0</v>
      </c>
      <c r="R153" t="s">
        <v>30</v>
      </c>
      <c r="S153">
        <v>999</v>
      </c>
      <c r="T153">
        <v>999</v>
      </c>
      <c r="U153">
        <v>999</v>
      </c>
      <c r="V153">
        <v>999</v>
      </c>
      <c r="W153">
        <v>999</v>
      </c>
    </row>
    <row r="154" spans="1:23" x14ac:dyDescent="0.3">
      <c r="A154">
        <v>120666</v>
      </c>
      <c r="B154" t="str">
        <f>CONCATENATE(Table1[[#This Row],[Fname]]," ",Table1[[#This Row],[Lname]])</f>
        <v>Weston Weeks</v>
      </c>
      <c r="C154" t="str">
        <f>CONCATENATE(Table1[[#This Row],[Sex]],"-",Table1[[#This Row],[Column3]])</f>
        <v>M-u12</v>
      </c>
      <c r="D154" t="s">
        <v>347</v>
      </c>
      <c r="E154" t="s">
        <v>348</v>
      </c>
      <c r="F154">
        <v>2014</v>
      </c>
      <c r="G154" t="str">
        <f>_xlfn.XLOOKUP(Table1[[#This Row],[YOB]],Table2[YOB],Table2[Category])</f>
        <v>u12</v>
      </c>
      <c r="H154" t="s">
        <v>22</v>
      </c>
      <c r="I154" t="s">
        <v>256</v>
      </c>
      <c r="J154" t="s">
        <v>257</v>
      </c>
      <c r="K154" t="s">
        <v>25</v>
      </c>
      <c r="L154" t="s">
        <v>26</v>
      </c>
      <c r="M154" t="s">
        <v>27</v>
      </c>
      <c r="N154" t="s">
        <v>25</v>
      </c>
      <c r="O154" t="s">
        <v>32</v>
      </c>
      <c r="P154" t="s">
        <v>33</v>
      </c>
      <c r="Q154">
        <v>0</v>
      </c>
      <c r="R154" t="s">
        <v>30</v>
      </c>
      <c r="S154">
        <v>999</v>
      </c>
      <c r="T154">
        <v>999</v>
      </c>
      <c r="U154">
        <v>999</v>
      </c>
      <c r="V154">
        <v>999</v>
      </c>
      <c r="W154">
        <v>999</v>
      </c>
    </row>
    <row r="155" spans="1:23" x14ac:dyDescent="0.3">
      <c r="A155">
        <v>117770</v>
      </c>
      <c r="B155" t="str">
        <f>CONCATENATE(Table1[[#This Row],[Fname]]," ",Table1[[#This Row],[Lname]])</f>
        <v>Drew Wheaton</v>
      </c>
      <c r="C155" t="str">
        <f>CONCATENATE(Table1[[#This Row],[Sex]],"-",Table1[[#This Row],[Column3]])</f>
        <v>M-u12</v>
      </c>
      <c r="D155" t="s">
        <v>349</v>
      </c>
      <c r="E155" t="s">
        <v>350</v>
      </c>
      <c r="F155">
        <v>2014</v>
      </c>
      <c r="G155" t="str">
        <f>_xlfn.XLOOKUP(Table1[[#This Row],[YOB]],Table2[YOB],Table2[Category])</f>
        <v>u12</v>
      </c>
      <c r="H155" t="s">
        <v>22</v>
      </c>
      <c r="I155" t="s">
        <v>256</v>
      </c>
      <c r="J155" t="s">
        <v>257</v>
      </c>
      <c r="K155" t="s">
        <v>25</v>
      </c>
      <c r="L155" t="s">
        <v>26</v>
      </c>
      <c r="M155" t="s">
        <v>27</v>
      </c>
      <c r="N155" t="s">
        <v>25</v>
      </c>
      <c r="O155" t="s">
        <v>32</v>
      </c>
      <c r="P155" t="s">
        <v>33</v>
      </c>
      <c r="Q155">
        <v>0</v>
      </c>
      <c r="R155" t="s">
        <v>30</v>
      </c>
      <c r="S155">
        <v>999</v>
      </c>
      <c r="T155">
        <v>999</v>
      </c>
      <c r="U155">
        <v>999</v>
      </c>
      <c r="V155">
        <v>999</v>
      </c>
      <c r="W155">
        <v>999</v>
      </c>
    </row>
    <row r="156" spans="1:23" x14ac:dyDescent="0.3">
      <c r="A156">
        <v>124079</v>
      </c>
      <c r="B156" t="str">
        <f>CONCATENATE(Table1[[#This Row],[Fname]]," ",Table1[[#This Row],[Lname]])</f>
        <v>Rocco Wheaton</v>
      </c>
      <c r="C156" t="str">
        <f>CONCATENATE(Table1[[#This Row],[Sex]],"-",Table1[[#This Row],[Column3]])</f>
        <v>M-u12</v>
      </c>
      <c r="D156" t="s">
        <v>352</v>
      </c>
      <c r="E156" t="s">
        <v>350</v>
      </c>
      <c r="F156">
        <v>2015</v>
      </c>
      <c r="G156" t="str">
        <f>_xlfn.XLOOKUP(Table1[[#This Row],[YOB]],Table2[YOB],Table2[Category])</f>
        <v>u12</v>
      </c>
      <c r="H156" t="s">
        <v>22</v>
      </c>
      <c r="I156" t="s">
        <v>256</v>
      </c>
      <c r="J156" t="s">
        <v>257</v>
      </c>
      <c r="K156" t="s">
        <v>25</v>
      </c>
      <c r="L156" t="s">
        <v>26</v>
      </c>
      <c r="M156" t="s">
        <v>27</v>
      </c>
      <c r="N156" t="s">
        <v>25</v>
      </c>
      <c r="O156" t="s">
        <v>32</v>
      </c>
      <c r="P156" t="s">
        <v>33</v>
      </c>
      <c r="Q156">
        <v>0</v>
      </c>
      <c r="R156" t="s">
        <v>30</v>
      </c>
      <c r="S156">
        <v>999</v>
      </c>
      <c r="T156">
        <v>999</v>
      </c>
      <c r="U156">
        <v>999</v>
      </c>
      <c r="V156">
        <v>999</v>
      </c>
      <c r="W156">
        <v>999</v>
      </c>
    </row>
    <row r="157" spans="1:23" x14ac:dyDescent="0.3">
      <c r="A157">
        <v>128694</v>
      </c>
      <c r="B157" t="str">
        <f>CONCATENATE(Table1[[#This Row],[Fname]]," ",Table1[[#This Row],[Lname]])</f>
        <v>James Willis</v>
      </c>
      <c r="C157" t="str">
        <f>CONCATENATE(Table1[[#This Row],[Sex]],"-",Table1[[#This Row],[Column3]])</f>
        <v>M-u12</v>
      </c>
      <c r="D157" t="s">
        <v>207</v>
      </c>
      <c r="E157" t="s">
        <v>915</v>
      </c>
      <c r="F157">
        <v>2015</v>
      </c>
      <c r="G157" t="str">
        <f>_xlfn.XLOOKUP(Table1[[#This Row],[YOB]],Table2[YOB],Table2[Category])</f>
        <v>u12</v>
      </c>
      <c r="H157" t="s">
        <v>22</v>
      </c>
      <c r="I157" t="s">
        <v>256</v>
      </c>
      <c r="J157" t="s">
        <v>257</v>
      </c>
      <c r="K157" t="s">
        <v>25</v>
      </c>
      <c r="L157" t="s">
        <v>26</v>
      </c>
      <c r="M157" t="s">
        <v>27</v>
      </c>
      <c r="N157" t="s">
        <v>25</v>
      </c>
      <c r="O157" t="s">
        <v>32</v>
      </c>
      <c r="P157" t="s">
        <v>33</v>
      </c>
      <c r="Q157">
        <v>0</v>
      </c>
      <c r="R157" t="s">
        <v>30</v>
      </c>
      <c r="S157">
        <v>999</v>
      </c>
      <c r="T157">
        <v>999</v>
      </c>
      <c r="U157">
        <v>999</v>
      </c>
      <c r="V157">
        <v>999</v>
      </c>
      <c r="W157">
        <v>999</v>
      </c>
    </row>
    <row r="158" spans="1:23" x14ac:dyDescent="0.3">
      <c r="A158">
        <v>109922</v>
      </c>
      <c r="B158" t="str">
        <f>CONCATENATE(Table1[[#This Row],[Fname]]," ",Table1[[#This Row],[Lname]])</f>
        <v>Will Acker</v>
      </c>
      <c r="C158" t="str">
        <f>CONCATENATE(Table1[[#This Row],[Sex]],"-",Table1[[#This Row],[Column3]])</f>
        <v>M-u12</v>
      </c>
      <c r="D158" t="s">
        <v>31</v>
      </c>
      <c r="E158" t="s">
        <v>21</v>
      </c>
      <c r="F158">
        <v>2015</v>
      </c>
      <c r="G158" t="str">
        <f>_xlfn.XLOOKUP(Table1[[#This Row],[YOB]],Table2[YOB],Table2[Category])</f>
        <v>u12</v>
      </c>
      <c r="H158" t="s">
        <v>22</v>
      </c>
      <c r="I158" t="s">
        <v>23</v>
      </c>
      <c r="J158" t="s">
        <v>24</v>
      </c>
      <c r="K158" t="s">
        <v>25</v>
      </c>
      <c r="L158" t="s">
        <v>26</v>
      </c>
      <c r="M158" t="s">
        <v>27</v>
      </c>
      <c r="N158" t="s">
        <v>25</v>
      </c>
      <c r="O158" t="s">
        <v>32</v>
      </c>
      <c r="P158" t="s">
        <v>33</v>
      </c>
      <c r="Q158">
        <v>0</v>
      </c>
      <c r="R158" t="s">
        <v>30</v>
      </c>
      <c r="S158">
        <v>999</v>
      </c>
      <c r="T158">
        <v>999</v>
      </c>
      <c r="U158">
        <v>999</v>
      </c>
      <c r="V158">
        <v>999</v>
      </c>
      <c r="W158">
        <v>999</v>
      </c>
    </row>
    <row r="159" spans="1:23" x14ac:dyDescent="0.3">
      <c r="A159">
        <v>109927</v>
      </c>
      <c r="B159" t="str">
        <f>CONCATENATE(Table1[[#This Row],[Fname]]," ",Table1[[#This Row],[Lname]])</f>
        <v>Leo Chandler</v>
      </c>
      <c r="C159" t="str">
        <f>CONCATENATE(Table1[[#This Row],[Sex]],"-",Table1[[#This Row],[Column3]])</f>
        <v>M-u12</v>
      </c>
      <c r="D159" t="s">
        <v>65</v>
      </c>
      <c r="E159" t="s">
        <v>64</v>
      </c>
      <c r="F159">
        <v>2015</v>
      </c>
      <c r="G159" t="str">
        <f>_xlfn.XLOOKUP(Table1[[#This Row],[YOB]],Table2[YOB],Table2[Category])</f>
        <v>u12</v>
      </c>
      <c r="H159" t="s">
        <v>22</v>
      </c>
      <c r="I159" t="s">
        <v>23</v>
      </c>
      <c r="J159" t="s">
        <v>24</v>
      </c>
      <c r="K159" t="s">
        <v>25</v>
      </c>
      <c r="L159" t="s">
        <v>26</v>
      </c>
      <c r="M159" t="s">
        <v>27</v>
      </c>
      <c r="N159" t="s">
        <v>25</v>
      </c>
      <c r="O159" t="s">
        <v>28</v>
      </c>
      <c r="P159" t="s">
        <v>29</v>
      </c>
      <c r="Q159">
        <v>0</v>
      </c>
      <c r="R159" t="s">
        <v>30</v>
      </c>
      <c r="S159">
        <v>999</v>
      </c>
      <c r="T159">
        <v>999</v>
      </c>
      <c r="U159">
        <v>999</v>
      </c>
      <c r="V159">
        <v>999</v>
      </c>
      <c r="W159">
        <v>999</v>
      </c>
    </row>
    <row r="160" spans="1:23" x14ac:dyDescent="0.3">
      <c r="A160">
        <v>109933</v>
      </c>
      <c r="B160" t="str">
        <f>CONCATENATE(Table1[[#This Row],[Fname]]," ",Table1[[#This Row],[Lname]])</f>
        <v>Ethan Faulkner</v>
      </c>
      <c r="C160" t="str">
        <f>CONCATENATE(Table1[[#This Row],[Sex]],"-",Table1[[#This Row],[Column3]])</f>
        <v>M-u12</v>
      </c>
      <c r="D160" t="s">
        <v>82</v>
      </c>
      <c r="E160" t="s">
        <v>81</v>
      </c>
      <c r="F160">
        <v>2015</v>
      </c>
      <c r="G160" t="str">
        <f>_xlfn.XLOOKUP(Table1[[#This Row],[YOB]],Table2[YOB],Table2[Category])</f>
        <v>u12</v>
      </c>
      <c r="H160" t="s">
        <v>22</v>
      </c>
      <c r="I160" t="s">
        <v>23</v>
      </c>
      <c r="J160" t="s">
        <v>24</v>
      </c>
      <c r="K160" t="s">
        <v>25</v>
      </c>
      <c r="L160" t="s">
        <v>26</v>
      </c>
      <c r="M160" t="s">
        <v>27</v>
      </c>
      <c r="N160" t="s">
        <v>25</v>
      </c>
      <c r="O160" t="s">
        <v>32</v>
      </c>
      <c r="P160" t="s">
        <v>33</v>
      </c>
      <c r="Q160">
        <v>0</v>
      </c>
      <c r="R160" t="s">
        <v>30</v>
      </c>
      <c r="S160">
        <v>999</v>
      </c>
      <c r="T160">
        <v>999</v>
      </c>
      <c r="U160">
        <v>999</v>
      </c>
      <c r="V160">
        <v>999</v>
      </c>
      <c r="W160">
        <v>999</v>
      </c>
    </row>
    <row r="161" spans="1:23" x14ac:dyDescent="0.3">
      <c r="A161">
        <v>110625</v>
      </c>
      <c r="B161" t="str">
        <f>CONCATENATE(Table1[[#This Row],[Fname]]," ",Table1[[#This Row],[Lname]])</f>
        <v>Bennett Mahoney</v>
      </c>
      <c r="C161" t="str">
        <f>CONCATENATE(Table1[[#This Row],[Sex]],"-",Table1[[#This Row],[Column3]])</f>
        <v>M-u12</v>
      </c>
      <c r="D161" t="s">
        <v>50</v>
      </c>
      <c r="E161" t="s">
        <v>134</v>
      </c>
      <c r="F161">
        <v>2015</v>
      </c>
      <c r="G161" t="str">
        <f>_xlfn.XLOOKUP(Table1[[#This Row],[YOB]],Table2[YOB],Table2[Category])</f>
        <v>u12</v>
      </c>
      <c r="H161" t="s">
        <v>22</v>
      </c>
      <c r="I161" t="s">
        <v>23</v>
      </c>
      <c r="J161" t="s">
        <v>24</v>
      </c>
      <c r="K161" t="s">
        <v>25</v>
      </c>
      <c r="L161" t="s">
        <v>26</v>
      </c>
      <c r="M161" t="s">
        <v>27</v>
      </c>
      <c r="N161" t="s">
        <v>25</v>
      </c>
      <c r="O161" t="s">
        <v>28</v>
      </c>
      <c r="P161" t="s">
        <v>29</v>
      </c>
      <c r="Q161">
        <v>0</v>
      </c>
      <c r="R161" t="s">
        <v>30</v>
      </c>
      <c r="S161">
        <v>999</v>
      </c>
      <c r="T161">
        <v>999</v>
      </c>
      <c r="U161">
        <v>999</v>
      </c>
      <c r="V161">
        <v>999</v>
      </c>
      <c r="W161">
        <v>999</v>
      </c>
    </row>
    <row r="162" spans="1:23" x14ac:dyDescent="0.3">
      <c r="A162">
        <v>123263</v>
      </c>
      <c r="B162" t="str">
        <f>CONCATENATE(Table1[[#This Row],[Fname]]," ",Table1[[#This Row],[Lname]])</f>
        <v>Camden Matheson</v>
      </c>
      <c r="C162" t="str">
        <f>CONCATENATE(Table1[[#This Row],[Sex]],"-",Table1[[#This Row],[Column3]])</f>
        <v>M-u12</v>
      </c>
      <c r="D162" t="s">
        <v>140</v>
      </c>
      <c r="E162" t="s">
        <v>141</v>
      </c>
      <c r="F162">
        <v>2015</v>
      </c>
      <c r="G162" t="str">
        <f>_xlfn.XLOOKUP(Table1[[#This Row],[YOB]],Table2[YOB],Table2[Category])</f>
        <v>u12</v>
      </c>
      <c r="H162" t="s">
        <v>22</v>
      </c>
      <c r="I162" t="s">
        <v>23</v>
      </c>
      <c r="J162" t="s">
        <v>24</v>
      </c>
      <c r="K162" t="s">
        <v>25</v>
      </c>
      <c r="L162" t="s">
        <v>26</v>
      </c>
      <c r="M162" t="s">
        <v>27</v>
      </c>
      <c r="N162" t="s">
        <v>25</v>
      </c>
      <c r="O162" t="s">
        <v>28</v>
      </c>
      <c r="P162" t="s">
        <v>29</v>
      </c>
      <c r="Q162">
        <v>0</v>
      </c>
      <c r="R162" t="s">
        <v>30</v>
      </c>
      <c r="S162">
        <v>999</v>
      </c>
      <c r="T162">
        <v>999</v>
      </c>
      <c r="U162">
        <v>999</v>
      </c>
      <c r="V162">
        <v>999</v>
      </c>
      <c r="W162">
        <v>999</v>
      </c>
    </row>
    <row r="163" spans="1:23" x14ac:dyDescent="0.3">
      <c r="A163">
        <v>126989</v>
      </c>
      <c r="B163" t="str">
        <f>CONCATENATE(Table1[[#This Row],[Fname]]," ",Table1[[#This Row],[Lname]])</f>
        <v>Ethan Maxwell</v>
      </c>
      <c r="C163" t="str">
        <f>CONCATENATE(Table1[[#This Row],[Sex]],"-",Table1[[#This Row],[Column3]])</f>
        <v>M-u12</v>
      </c>
      <c r="D163" t="s">
        <v>82</v>
      </c>
      <c r="E163" t="s">
        <v>145</v>
      </c>
      <c r="F163">
        <v>2015</v>
      </c>
      <c r="G163" t="str">
        <f>_xlfn.XLOOKUP(Table1[[#This Row],[YOB]],Table2[YOB],Table2[Category])</f>
        <v>u12</v>
      </c>
      <c r="H163" t="s">
        <v>22</v>
      </c>
      <c r="I163" t="s">
        <v>23</v>
      </c>
      <c r="J163" t="s">
        <v>24</v>
      </c>
      <c r="K163" t="s">
        <v>25</v>
      </c>
      <c r="L163" t="s">
        <v>26</v>
      </c>
      <c r="M163" t="s">
        <v>27</v>
      </c>
      <c r="N163" t="s">
        <v>25</v>
      </c>
      <c r="O163" t="s">
        <v>28</v>
      </c>
      <c r="P163" t="s">
        <v>29</v>
      </c>
      <c r="Q163">
        <v>0</v>
      </c>
      <c r="R163" t="s">
        <v>30</v>
      </c>
      <c r="S163">
        <v>999</v>
      </c>
      <c r="T163">
        <v>999</v>
      </c>
      <c r="U163">
        <v>999</v>
      </c>
      <c r="V163">
        <v>999</v>
      </c>
      <c r="W163">
        <v>999</v>
      </c>
    </row>
    <row r="164" spans="1:23" x14ac:dyDescent="0.3">
      <c r="A164">
        <v>123269</v>
      </c>
      <c r="B164" t="str">
        <f>CONCATENATE(Table1[[#This Row],[Fname]]," ",Table1[[#This Row],[Lname]])</f>
        <v>Maurizio (Mo) Santori</v>
      </c>
      <c r="C164" t="str">
        <f>CONCATENATE(Table1[[#This Row],[Sex]],"-",Table1[[#This Row],[Column3]])</f>
        <v>M-u12</v>
      </c>
      <c r="D164" t="s">
        <v>188</v>
      </c>
      <c r="E164" t="s">
        <v>189</v>
      </c>
      <c r="F164">
        <v>2015</v>
      </c>
      <c r="G164" t="str">
        <f>_xlfn.XLOOKUP(Table1[[#This Row],[YOB]],Table2[YOB],Table2[Category])</f>
        <v>u12</v>
      </c>
      <c r="H164" t="s">
        <v>22</v>
      </c>
      <c r="I164" t="s">
        <v>23</v>
      </c>
      <c r="J164" t="s">
        <v>24</v>
      </c>
      <c r="K164" t="s">
        <v>25</v>
      </c>
      <c r="L164" t="s">
        <v>26</v>
      </c>
      <c r="M164" t="s">
        <v>27</v>
      </c>
      <c r="N164" t="s">
        <v>25</v>
      </c>
      <c r="O164" t="s">
        <v>28</v>
      </c>
      <c r="P164" t="s">
        <v>29</v>
      </c>
      <c r="Q164">
        <v>0</v>
      </c>
      <c r="R164" t="s">
        <v>30</v>
      </c>
      <c r="S164">
        <v>999</v>
      </c>
      <c r="T164">
        <v>999</v>
      </c>
      <c r="U164">
        <v>999</v>
      </c>
      <c r="V164">
        <v>999</v>
      </c>
      <c r="W164">
        <v>999</v>
      </c>
    </row>
    <row r="165" spans="1:23" x14ac:dyDescent="0.3">
      <c r="A165">
        <v>109954</v>
      </c>
      <c r="B165" t="str">
        <f>CONCATENATE(Table1[[#This Row],[Fname]]," ",Table1[[#This Row],[Lname]])</f>
        <v>Frantisek Telgarsky</v>
      </c>
      <c r="C165" t="str">
        <f>CONCATENATE(Table1[[#This Row],[Sex]],"-",Table1[[#This Row],[Column3]])</f>
        <v>M-u12</v>
      </c>
      <c r="D165" t="s">
        <v>202</v>
      </c>
      <c r="E165" t="s">
        <v>203</v>
      </c>
      <c r="F165">
        <v>2014</v>
      </c>
      <c r="G165" t="str">
        <f>_xlfn.XLOOKUP(Table1[[#This Row],[YOB]],Table2[YOB],Table2[Category])</f>
        <v>u12</v>
      </c>
      <c r="H165" t="s">
        <v>22</v>
      </c>
      <c r="I165" t="s">
        <v>23</v>
      </c>
      <c r="J165" t="s">
        <v>24</v>
      </c>
      <c r="K165" t="s">
        <v>25</v>
      </c>
      <c r="L165" t="s">
        <v>26</v>
      </c>
      <c r="M165" t="s">
        <v>27</v>
      </c>
      <c r="N165" t="s">
        <v>25</v>
      </c>
      <c r="O165" t="s">
        <v>32</v>
      </c>
      <c r="P165" t="s">
        <v>33</v>
      </c>
      <c r="Q165">
        <v>0</v>
      </c>
      <c r="R165" t="s">
        <v>30</v>
      </c>
      <c r="S165">
        <v>999</v>
      </c>
      <c r="T165">
        <v>999</v>
      </c>
      <c r="U165">
        <v>999</v>
      </c>
      <c r="V165">
        <v>999</v>
      </c>
      <c r="W165">
        <v>999</v>
      </c>
    </row>
    <row r="166" spans="1:23" x14ac:dyDescent="0.3">
      <c r="A166">
        <v>107257</v>
      </c>
      <c r="B166" t="str">
        <f>CONCATENATE(Table1[[#This Row],[Fname]]," ",Table1[[#This Row],[Lname]])</f>
        <v>Thomas Berube</v>
      </c>
      <c r="C166" t="str">
        <f>CONCATENATE(Table1[[#This Row],[Sex]],"-",Table1[[#This Row],[Column3]])</f>
        <v>M-u12</v>
      </c>
      <c r="D166" t="s">
        <v>147</v>
      </c>
      <c r="E166" t="s">
        <v>221</v>
      </c>
      <c r="F166">
        <v>2014</v>
      </c>
      <c r="G166" t="str">
        <f>_xlfn.XLOOKUP(Table1[[#This Row],[YOB]],Table2[YOB],Table2[Category])</f>
        <v>u12</v>
      </c>
      <c r="H166" t="s">
        <v>22</v>
      </c>
      <c r="I166" t="s">
        <v>222</v>
      </c>
      <c r="J166" t="s">
        <v>223</v>
      </c>
      <c r="K166" t="s">
        <v>25</v>
      </c>
      <c r="L166" t="s">
        <v>26</v>
      </c>
      <c r="M166" t="s">
        <v>27</v>
      </c>
      <c r="N166" t="s">
        <v>25</v>
      </c>
      <c r="O166" t="s">
        <v>32</v>
      </c>
      <c r="P166" t="s">
        <v>33</v>
      </c>
      <c r="Q166">
        <v>0</v>
      </c>
      <c r="R166" t="s">
        <v>30</v>
      </c>
      <c r="S166">
        <v>999</v>
      </c>
      <c r="T166">
        <v>999</v>
      </c>
      <c r="U166">
        <v>999</v>
      </c>
      <c r="V166">
        <v>999</v>
      </c>
      <c r="W166">
        <v>999</v>
      </c>
    </row>
    <row r="167" spans="1:23" x14ac:dyDescent="0.3">
      <c r="A167">
        <v>115872</v>
      </c>
      <c r="B167" t="str">
        <f>CONCATENATE(Table1[[#This Row],[Fname]]," ",Table1[[#This Row],[Lname]])</f>
        <v>Olivier Roy</v>
      </c>
      <c r="C167" t="str">
        <f>CONCATENATE(Table1[[#This Row],[Sex]],"-",Table1[[#This Row],[Column3]])</f>
        <v>M-u12</v>
      </c>
      <c r="D167" t="s">
        <v>248</v>
      </c>
      <c r="E167" t="s">
        <v>181</v>
      </c>
      <c r="F167">
        <v>2014</v>
      </c>
      <c r="G167" t="str">
        <f>_xlfn.XLOOKUP(Table1[[#This Row],[YOB]],Table2[YOB],Table2[Category])</f>
        <v>u12</v>
      </c>
      <c r="H167" t="s">
        <v>22</v>
      </c>
      <c r="I167" t="s">
        <v>222</v>
      </c>
      <c r="J167" t="s">
        <v>223</v>
      </c>
      <c r="K167" t="s">
        <v>25</v>
      </c>
      <c r="L167" t="s">
        <v>26</v>
      </c>
      <c r="M167" t="s">
        <v>27</v>
      </c>
      <c r="N167" t="s">
        <v>25</v>
      </c>
      <c r="O167" t="s">
        <v>32</v>
      </c>
      <c r="P167" t="s">
        <v>33</v>
      </c>
      <c r="Q167">
        <v>0</v>
      </c>
      <c r="R167" t="s">
        <v>30</v>
      </c>
      <c r="S167">
        <v>999</v>
      </c>
      <c r="T167">
        <v>999</v>
      </c>
      <c r="U167">
        <v>999</v>
      </c>
      <c r="V167">
        <v>999</v>
      </c>
      <c r="W167">
        <v>999</v>
      </c>
    </row>
    <row r="168" spans="1:23" x14ac:dyDescent="0.3">
      <c r="A168">
        <v>107305</v>
      </c>
      <c r="B168" t="str">
        <f>CONCATENATE(Table1[[#This Row],[Fname]]," ",Table1[[#This Row],[Lname]])</f>
        <v>Eliot Bacon</v>
      </c>
      <c r="C168" t="str">
        <f>CONCATENATE(Table1[[#This Row],[Sex]],"-",Table1[[#This Row],[Column3]])</f>
        <v>M-u14</v>
      </c>
      <c r="D168" t="s">
        <v>258</v>
      </c>
      <c r="E168" t="s">
        <v>255</v>
      </c>
      <c r="F168">
        <v>2012</v>
      </c>
      <c r="G168" t="str">
        <f>_xlfn.XLOOKUP(Table1[[#This Row],[YOB]],Table2[YOB],Table2[Category])</f>
        <v>u14</v>
      </c>
      <c r="H168" t="s">
        <v>22</v>
      </c>
      <c r="I168" t="s">
        <v>256</v>
      </c>
      <c r="J168" t="s">
        <v>257</v>
      </c>
      <c r="K168" t="s">
        <v>25</v>
      </c>
      <c r="L168" t="s">
        <v>26</v>
      </c>
      <c r="M168" t="s">
        <v>27</v>
      </c>
      <c r="N168" t="s">
        <v>25</v>
      </c>
      <c r="O168" t="s">
        <v>37</v>
      </c>
      <c r="P168" t="s">
        <v>38</v>
      </c>
      <c r="Q168">
        <v>1</v>
      </c>
      <c r="R168" t="s">
        <v>905</v>
      </c>
      <c r="S168">
        <v>437.13</v>
      </c>
      <c r="T168">
        <v>469.9</v>
      </c>
      <c r="U168">
        <v>540.53</v>
      </c>
      <c r="V168">
        <v>999</v>
      </c>
      <c r="W168">
        <v>999</v>
      </c>
    </row>
    <row r="169" spans="1:23" x14ac:dyDescent="0.3">
      <c r="A169">
        <v>127391</v>
      </c>
      <c r="B169" t="str">
        <f>CONCATENATE(Table1[[#This Row],[Fname]]," ",Table1[[#This Row],[Lname]])</f>
        <v>Yuhang Guo</v>
      </c>
      <c r="C169" t="str">
        <f>CONCATENATE(Table1[[#This Row],[Sex]],"-",Table1[[#This Row],[Column3]])</f>
        <v>M-u14</v>
      </c>
      <c r="D169" t="s">
        <v>291</v>
      </c>
      <c r="E169" t="s">
        <v>292</v>
      </c>
      <c r="F169">
        <v>2012</v>
      </c>
      <c r="G169" t="str">
        <f>_xlfn.XLOOKUP(Table1[[#This Row],[YOB]],Table2[YOB],Table2[Category])</f>
        <v>u14</v>
      </c>
      <c r="H169" t="s">
        <v>22</v>
      </c>
      <c r="I169" t="s">
        <v>256</v>
      </c>
      <c r="J169" t="s">
        <v>257</v>
      </c>
      <c r="K169" t="s">
        <v>25</v>
      </c>
      <c r="L169" t="s">
        <v>26</v>
      </c>
      <c r="M169" t="s">
        <v>27</v>
      </c>
      <c r="N169" t="s">
        <v>25</v>
      </c>
      <c r="O169" t="s">
        <v>37</v>
      </c>
      <c r="P169" t="s">
        <v>38</v>
      </c>
      <c r="Q169">
        <v>1</v>
      </c>
      <c r="R169" t="s">
        <v>905</v>
      </c>
      <c r="S169">
        <v>999</v>
      </c>
      <c r="T169">
        <v>999</v>
      </c>
      <c r="U169">
        <v>999</v>
      </c>
      <c r="V169">
        <v>999</v>
      </c>
      <c r="W169">
        <v>999</v>
      </c>
    </row>
    <row r="170" spans="1:23" x14ac:dyDescent="0.3">
      <c r="A170">
        <v>102726</v>
      </c>
      <c r="B170" t="str">
        <f>CONCATENATE(Table1[[#This Row],[Fname]]," ",Table1[[#This Row],[Lname]])</f>
        <v>Hunter Hovey</v>
      </c>
      <c r="C170" t="str">
        <f>CONCATENATE(Table1[[#This Row],[Sex]],"-",Table1[[#This Row],[Column3]])</f>
        <v>M-u14</v>
      </c>
      <c r="D170" t="s">
        <v>106</v>
      </c>
      <c r="E170" t="s">
        <v>297</v>
      </c>
      <c r="F170">
        <v>2012</v>
      </c>
      <c r="G170" t="str">
        <f>_xlfn.XLOOKUP(Table1[[#This Row],[YOB]],Table2[YOB],Table2[Category])</f>
        <v>u14</v>
      </c>
      <c r="H170" t="s">
        <v>22</v>
      </c>
      <c r="I170" t="s">
        <v>256</v>
      </c>
      <c r="J170" t="s">
        <v>257</v>
      </c>
      <c r="K170" t="s">
        <v>25</v>
      </c>
      <c r="L170" t="s">
        <v>26</v>
      </c>
      <c r="M170" t="s">
        <v>27</v>
      </c>
      <c r="N170" t="s">
        <v>25</v>
      </c>
      <c r="O170" t="s">
        <v>37</v>
      </c>
      <c r="P170" t="s">
        <v>38</v>
      </c>
      <c r="Q170">
        <v>1</v>
      </c>
      <c r="R170" t="s">
        <v>905</v>
      </c>
      <c r="S170">
        <v>543.41</v>
      </c>
      <c r="T170">
        <v>504.14</v>
      </c>
      <c r="U170">
        <v>569.37</v>
      </c>
      <c r="V170">
        <v>999</v>
      </c>
      <c r="W170">
        <v>999</v>
      </c>
    </row>
    <row r="171" spans="1:23" x14ac:dyDescent="0.3">
      <c r="A171">
        <v>127410</v>
      </c>
      <c r="B171" t="str">
        <f>CONCATENATE(Table1[[#This Row],[Fname]]," ",Table1[[#This Row],[Lname]])</f>
        <v>Shivshankar Jaswal</v>
      </c>
      <c r="C171" t="str">
        <f>CONCATENATE(Table1[[#This Row],[Sex]],"-",Table1[[#This Row],[Column3]])</f>
        <v>M-u14</v>
      </c>
      <c r="D171" t="s">
        <v>299</v>
      </c>
      <c r="E171" t="s">
        <v>298</v>
      </c>
      <c r="F171">
        <v>2012</v>
      </c>
      <c r="G171" t="str">
        <f>_xlfn.XLOOKUP(Table1[[#This Row],[YOB]],Table2[YOB],Table2[Category])</f>
        <v>u14</v>
      </c>
      <c r="H171" t="s">
        <v>22</v>
      </c>
      <c r="I171" t="s">
        <v>256</v>
      </c>
      <c r="J171" t="s">
        <v>257</v>
      </c>
      <c r="K171" t="s">
        <v>25</v>
      </c>
      <c r="L171" t="s">
        <v>26</v>
      </c>
      <c r="M171" t="s">
        <v>27</v>
      </c>
      <c r="N171" t="s">
        <v>25</v>
      </c>
      <c r="O171" t="s">
        <v>37</v>
      </c>
      <c r="P171" t="s">
        <v>38</v>
      </c>
      <c r="Q171">
        <v>1</v>
      </c>
      <c r="R171" t="s">
        <v>905</v>
      </c>
      <c r="S171">
        <v>999</v>
      </c>
      <c r="T171">
        <v>999</v>
      </c>
      <c r="U171">
        <v>999</v>
      </c>
      <c r="V171">
        <v>999</v>
      </c>
      <c r="W171">
        <v>999</v>
      </c>
    </row>
    <row r="172" spans="1:23" x14ac:dyDescent="0.3">
      <c r="A172">
        <v>127401</v>
      </c>
      <c r="B172" t="str">
        <f>CONCATENATE(Table1[[#This Row],[Fname]]," ",Table1[[#This Row],[Lname]])</f>
        <v>Landon Maillet</v>
      </c>
      <c r="C172" t="str">
        <f>CONCATENATE(Table1[[#This Row],[Sex]],"-",Table1[[#This Row],[Column3]])</f>
        <v>M-u14</v>
      </c>
      <c r="D172" t="s">
        <v>307</v>
      </c>
      <c r="E172" t="s">
        <v>136</v>
      </c>
      <c r="F172">
        <v>2013</v>
      </c>
      <c r="G172" t="str">
        <f>_xlfn.XLOOKUP(Table1[[#This Row],[YOB]],Table2[YOB],Table2[Category])</f>
        <v>u14</v>
      </c>
      <c r="H172" t="s">
        <v>22</v>
      </c>
      <c r="I172" t="s">
        <v>256</v>
      </c>
      <c r="J172" t="s">
        <v>257</v>
      </c>
      <c r="K172" t="s">
        <v>25</v>
      </c>
      <c r="L172" t="s">
        <v>26</v>
      </c>
      <c r="M172" t="s">
        <v>27</v>
      </c>
      <c r="N172" t="s">
        <v>25</v>
      </c>
      <c r="O172" t="s">
        <v>37</v>
      </c>
      <c r="P172" t="s">
        <v>38</v>
      </c>
      <c r="Q172">
        <v>1</v>
      </c>
      <c r="R172" t="s">
        <v>905</v>
      </c>
      <c r="S172">
        <v>999</v>
      </c>
      <c r="T172">
        <v>999</v>
      </c>
      <c r="U172">
        <v>999</v>
      </c>
      <c r="V172">
        <v>999</v>
      </c>
      <c r="W172">
        <v>999</v>
      </c>
    </row>
    <row r="173" spans="1:23" x14ac:dyDescent="0.3">
      <c r="A173">
        <v>117684</v>
      </c>
      <c r="B173" t="str">
        <f>CONCATENATE(Table1[[#This Row],[Fname]]," ",Table1[[#This Row],[Lname]])</f>
        <v>Jack McMullen</v>
      </c>
      <c r="C173" t="str">
        <f>CONCATENATE(Table1[[#This Row],[Sex]],"-",Table1[[#This Row],[Column3]])</f>
        <v>M-u14</v>
      </c>
      <c r="D173" t="s">
        <v>312</v>
      </c>
      <c r="E173" t="s">
        <v>311</v>
      </c>
      <c r="F173">
        <v>2013</v>
      </c>
      <c r="G173" t="str">
        <f>_xlfn.XLOOKUP(Table1[[#This Row],[YOB]],Table2[YOB],Table2[Category])</f>
        <v>u14</v>
      </c>
      <c r="H173" t="s">
        <v>22</v>
      </c>
      <c r="I173" t="s">
        <v>256</v>
      </c>
      <c r="J173" t="s">
        <v>257</v>
      </c>
      <c r="K173" t="s">
        <v>25</v>
      </c>
      <c r="L173" t="s">
        <v>26</v>
      </c>
      <c r="M173" t="s">
        <v>27</v>
      </c>
      <c r="N173" t="s">
        <v>25</v>
      </c>
      <c r="O173" t="s">
        <v>37</v>
      </c>
      <c r="P173" t="s">
        <v>38</v>
      </c>
      <c r="Q173">
        <v>1</v>
      </c>
      <c r="R173" t="s">
        <v>905</v>
      </c>
      <c r="S173">
        <v>522.82000000000005</v>
      </c>
      <c r="T173">
        <v>580.59</v>
      </c>
      <c r="U173">
        <v>561.33000000000004</v>
      </c>
      <c r="V173">
        <v>999</v>
      </c>
      <c r="W173">
        <v>999</v>
      </c>
    </row>
    <row r="174" spans="1:23" x14ac:dyDescent="0.3">
      <c r="A174">
        <v>117686</v>
      </c>
      <c r="B174" t="str">
        <f>CONCATENATE(Table1[[#This Row],[Fname]]," ",Table1[[#This Row],[Lname]])</f>
        <v>Jackson Mix</v>
      </c>
      <c r="C174" t="str">
        <f>CONCATENATE(Table1[[#This Row],[Sex]],"-",Table1[[#This Row],[Column3]])</f>
        <v>M-u14</v>
      </c>
      <c r="D174" t="s">
        <v>313</v>
      </c>
      <c r="E174" t="s">
        <v>314</v>
      </c>
      <c r="F174">
        <v>2012</v>
      </c>
      <c r="G174" t="str">
        <f>_xlfn.XLOOKUP(Table1[[#This Row],[YOB]],Table2[YOB],Table2[Category])</f>
        <v>u14</v>
      </c>
      <c r="H174" t="s">
        <v>22</v>
      </c>
      <c r="I174" t="s">
        <v>256</v>
      </c>
      <c r="J174" t="s">
        <v>257</v>
      </c>
      <c r="K174" t="s">
        <v>25</v>
      </c>
      <c r="L174" t="s">
        <v>26</v>
      </c>
      <c r="M174" t="s">
        <v>27</v>
      </c>
      <c r="N174" t="s">
        <v>25</v>
      </c>
      <c r="O174" t="s">
        <v>37</v>
      </c>
      <c r="P174" t="s">
        <v>38</v>
      </c>
      <c r="Q174">
        <v>1</v>
      </c>
      <c r="R174" t="s">
        <v>905</v>
      </c>
      <c r="S174">
        <v>516.52</v>
      </c>
      <c r="T174">
        <v>539.58000000000004</v>
      </c>
      <c r="U174">
        <v>565.98</v>
      </c>
      <c r="V174">
        <v>999</v>
      </c>
      <c r="W174">
        <v>999</v>
      </c>
    </row>
    <row r="175" spans="1:23" x14ac:dyDescent="0.3">
      <c r="A175">
        <v>127404</v>
      </c>
      <c r="B175" t="str">
        <f>CONCATENATE(Table1[[#This Row],[Fname]]," ",Table1[[#This Row],[Lname]])</f>
        <v>Charles Everett Wade Myles</v>
      </c>
      <c r="C175" t="str">
        <f>CONCATENATE(Table1[[#This Row],[Sex]],"-",Table1[[#This Row],[Column3]])</f>
        <v>M-u14</v>
      </c>
      <c r="D175" t="s">
        <v>317</v>
      </c>
      <c r="E175" t="s">
        <v>318</v>
      </c>
      <c r="F175">
        <v>2013</v>
      </c>
      <c r="G175" t="str">
        <f>_xlfn.XLOOKUP(Table1[[#This Row],[YOB]],Table2[YOB],Table2[Category])</f>
        <v>u14</v>
      </c>
      <c r="H175" t="s">
        <v>22</v>
      </c>
      <c r="I175" t="s">
        <v>256</v>
      </c>
      <c r="J175" t="s">
        <v>257</v>
      </c>
      <c r="K175" t="s">
        <v>25</v>
      </c>
      <c r="L175" t="s">
        <v>26</v>
      </c>
      <c r="M175" t="s">
        <v>27</v>
      </c>
      <c r="N175" t="s">
        <v>25</v>
      </c>
      <c r="O175" t="s">
        <v>37</v>
      </c>
      <c r="P175" t="s">
        <v>38</v>
      </c>
      <c r="Q175">
        <v>1</v>
      </c>
      <c r="R175" t="s">
        <v>905</v>
      </c>
      <c r="S175">
        <v>999</v>
      </c>
      <c r="T175">
        <v>999</v>
      </c>
      <c r="U175">
        <v>999</v>
      </c>
      <c r="V175">
        <v>999</v>
      </c>
      <c r="W175">
        <v>999</v>
      </c>
    </row>
    <row r="176" spans="1:23" x14ac:dyDescent="0.3">
      <c r="A176">
        <v>120663</v>
      </c>
      <c r="B176" t="str">
        <f>CONCATENATE(Table1[[#This Row],[Fname]]," ",Table1[[#This Row],[Lname]])</f>
        <v>Rayleij Ortega</v>
      </c>
      <c r="C176" t="str">
        <f>CONCATENATE(Table1[[#This Row],[Sex]],"-",Table1[[#This Row],[Column3]])</f>
        <v>M-u14</v>
      </c>
      <c r="D176" t="s">
        <v>319</v>
      </c>
      <c r="E176" t="s">
        <v>320</v>
      </c>
      <c r="F176">
        <v>2013</v>
      </c>
      <c r="G176" t="str">
        <f>_xlfn.XLOOKUP(Table1[[#This Row],[YOB]],Table2[YOB],Table2[Category])</f>
        <v>u14</v>
      </c>
      <c r="H176" t="s">
        <v>22</v>
      </c>
      <c r="I176" t="s">
        <v>256</v>
      </c>
      <c r="J176" t="s">
        <v>257</v>
      </c>
      <c r="K176" t="s">
        <v>25</v>
      </c>
      <c r="L176" t="s">
        <v>26</v>
      </c>
      <c r="M176" t="s">
        <v>27</v>
      </c>
      <c r="N176" t="s">
        <v>25</v>
      </c>
      <c r="O176" t="s">
        <v>37</v>
      </c>
      <c r="P176" t="s">
        <v>38</v>
      </c>
      <c r="Q176">
        <v>1</v>
      </c>
      <c r="R176" t="s">
        <v>905</v>
      </c>
      <c r="S176">
        <v>999</v>
      </c>
      <c r="T176">
        <v>689.22</v>
      </c>
      <c r="U176">
        <v>736.05</v>
      </c>
      <c r="V176">
        <v>999</v>
      </c>
      <c r="W176">
        <v>999</v>
      </c>
    </row>
    <row r="177" spans="1:23" x14ac:dyDescent="0.3">
      <c r="A177">
        <v>125595</v>
      </c>
      <c r="B177" t="str">
        <f>CONCATENATE(Table1[[#This Row],[Fname]]," ",Table1[[#This Row],[Lname]])</f>
        <v>Finley Richmond-Waugh</v>
      </c>
      <c r="C177" t="str">
        <f>CONCATENATE(Table1[[#This Row],[Sex]],"-",Table1[[#This Row],[Column3]])</f>
        <v>M-u14</v>
      </c>
      <c r="D177" t="s">
        <v>331</v>
      </c>
      <c r="E177" t="s">
        <v>332</v>
      </c>
      <c r="F177">
        <v>2013</v>
      </c>
      <c r="G177" t="str">
        <f>_xlfn.XLOOKUP(Table1[[#This Row],[YOB]],Table2[YOB],Table2[Category])</f>
        <v>u14</v>
      </c>
      <c r="H177" t="s">
        <v>22</v>
      </c>
      <c r="I177" t="s">
        <v>256</v>
      </c>
      <c r="J177" t="s">
        <v>257</v>
      </c>
      <c r="K177" t="s">
        <v>25</v>
      </c>
      <c r="L177" t="s">
        <v>26</v>
      </c>
      <c r="M177" t="s">
        <v>27</v>
      </c>
      <c r="N177" t="s">
        <v>25</v>
      </c>
      <c r="O177" t="s">
        <v>37</v>
      </c>
      <c r="P177" t="s">
        <v>38</v>
      </c>
      <c r="Q177">
        <v>1</v>
      </c>
      <c r="R177" t="s">
        <v>905</v>
      </c>
      <c r="S177">
        <v>999</v>
      </c>
      <c r="T177">
        <v>999</v>
      </c>
      <c r="U177">
        <v>999</v>
      </c>
      <c r="V177">
        <v>999</v>
      </c>
      <c r="W177">
        <v>999</v>
      </c>
    </row>
    <row r="178" spans="1:23" x14ac:dyDescent="0.3">
      <c r="A178">
        <v>108668</v>
      </c>
      <c r="B178" t="str">
        <f>CONCATENATE(Table1[[#This Row],[Fname]]," ",Table1[[#This Row],[Lname]])</f>
        <v>Garrett Beaton</v>
      </c>
      <c r="C178" t="str">
        <f>CONCATENATE(Table1[[#This Row],[Sex]],"-",Table1[[#This Row],[Column3]])</f>
        <v>M-u14</v>
      </c>
      <c r="D178" t="s">
        <v>47</v>
      </c>
      <c r="E178" t="s">
        <v>48</v>
      </c>
      <c r="F178">
        <v>2012</v>
      </c>
      <c r="G178" t="str">
        <f>_xlfn.XLOOKUP(Table1[[#This Row],[YOB]],Table2[YOB],Table2[Category])</f>
        <v>u14</v>
      </c>
      <c r="H178" t="s">
        <v>22</v>
      </c>
      <c r="I178" t="s">
        <v>23</v>
      </c>
      <c r="J178" t="s">
        <v>24</v>
      </c>
      <c r="K178" t="s">
        <v>25</v>
      </c>
      <c r="L178" t="s">
        <v>26</v>
      </c>
      <c r="M178" t="s">
        <v>27</v>
      </c>
      <c r="N178" t="s">
        <v>25</v>
      </c>
      <c r="O178" t="s">
        <v>37</v>
      </c>
      <c r="P178" t="s">
        <v>38</v>
      </c>
      <c r="Q178">
        <v>1</v>
      </c>
      <c r="R178" t="s">
        <v>905</v>
      </c>
      <c r="S178">
        <v>999</v>
      </c>
      <c r="T178">
        <v>999</v>
      </c>
      <c r="U178">
        <v>999</v>
      </c>
      <c r="V178">
        <v>999</v>
      </c>
      <c r="W178">
        <v>999</v>
      </c>
    </row>
    <row r="179" spans="1:23" x14ac:dyDescent="0.3">
      <c r="A179">
        <v>102827</v>
      </c>
      <c r="B179" t="str">
        <f>CONCATENATE(Table1[[#This Row],[Fname]]," ",Table1[[#This Row],[Lname]])</f>
        <v>Gordon Bennett</v>
      </c>
      <c r="C179" t="str">
        <f>CONCATENATE(Table1[[#This Row],[Sex]],"-",Table1[[#This Row],[Column3]])</f>
        <v>M-u14</v>
      </c>
      <c r="D179" t="s">
        <v>51</v>
      </c>
      <c r="E179" t="s">
        <v>50</v>
      </c>
      <c r="F179">
        <v>2013</v>
      </c>
      <c r="G179" t="str">
        <f>_xlfn.XLOOKUP(Table1[[#This Row],[YOB]],Table2[YOB],Table2[Category])</f>
        <v>u14</v>
      </c>
      <c r="H179" t="s">
        <v>22</v>
      </c>
      <c r="I179" t="s">
        <v>23</v>
      </c>
      <c r="J179" t="s">
        <v>24</v>
      </c>
      <c r="K179" t="s">
        <v>25</v>
      </c>
      <c r="L179" t="s">
        <v>26</v>
      </c>
      <c r="M179" t="s">
        <v>27</v>
      </c>
      <c r="N179" t="s">
        <v>25</v>
      </c>
      <c r="O179" t="s">
        <v>37</v>
      </c>
      <c r="P179" t="s">
        <v>38</v>
      </c>
      <c r="Q179">
        <v>1</v>
      </c>
      <c r="R179" t="s">
        <v>905</v>
      </c>
      <c r="S179">
        <v>590.05999999999995</v>
      </c>
      <c r="T179">
        <v>811.94</v>
      </c>
      <c r="U179">
        <v>879.19</v>
      </c>
      <c r="V179">
        <v>999</v>
      </c>
      <c r="W179">
        <v>999</v>
      </c>
    </row>
    <row r="180" spans="1:23" x14ac:dyDescent="0.3">
      <c r="A180">
        <v>108684</v>
      </c>
      <c r="B180" t="str">
        <f>CONCATENATE(Table1[[#This Row],[Fname]]," ",Table1[[#This Row],[Lname]])</f>
        <v>Zack Leblanc</v>
      </c>
      <c r="C180" t="str">
        <f>CONCATENATE(Table1[[#This Row],[Sex]],"-",Table1[[#This Row],[Column3]])</f>
        <v>M-u14</v>
      </c>
      <c r="D180" t="s">
        <v>122</v>
      </c>
      <c r="E180" t="s">
        <v>121</v>
      </c>
      <c r="F180">
        <v>2013</v>
      </c>
      <c r="G180" t="str">
        <f>_xlfn.XLOOKUP(Table1[[#This Row],[YOB]],Table2[YOB],Table2[Category])</f>
        <v>u14</v>
      </c>
      <c r="H180" t="s">
        <v>22</v>
      </c>
      <c r="I180" t="s">
        <v>23</v>
      </c>
      <c r="J180" t="s">
        <v>24</v>
      </c>
      <c r="K180" t="s">
        <v>25</v>
      </c>
      <c r="L180" t="s">
        <v>26</v>
      </c>
      <c r="M180" t="s">
        <v>27</v>
      </c>
      <c r="N180" t="s">
        <v>25</v>
      </c>
      <c r="O180" t="s">
        <v>37</v>
      </c>
      <c r="P180" t="s">
        <v>38</v>
      </c>
      <c r="Q180">
        <v>1</v>
      </c>
      <c r="R180" t="s">
        <v>905</v>
      </c>
      <c r="S180">
        <v>606.37</v>
      </c>
      <c r="T180">
        <v>558.17999999999995</v>
      </c>
      <c r="U180">
        <v>999</v>
      </c>
      <c r="V180">
        <v>999</v>
      </c>
      <c r="W180">
        <v>999</v>
      </c>
    </row>
    <row r="181" spans="1:23" x14ac:dyDescent="0.3">
      <c r="A181">
        <v>109953</v>
      </c>
      <c r="B181" t="str">
        <f>CONCATENATE(Table1[[#This Row],[Fname]]," ",Table1[[#This Row],[Lname]])</f>
        <v>Krystof Telgarsky</v>
      </c>
      <c r="C181" t="str">
        <f>CONCATENATE(Table1[[#This Row],[Sex]],"-",Table1[[#This Row],[Column3]])</f>
        <v>M-u14</v>
      </c>
      <c r="D181" t="s">
        <v>204</v>
      </c>
      <c r="E181" t="s">
        <v>203</v>
      </c>
      <c r="F181">
        <v>2013</v>
      </c>
      <c r="G181" t="str">
        <f>_xlfn.XLOOKUP(Table1[[#This Row],[YOB]],Table2[YOB],Table2[Category])</f>
        <v>u14</v>
      </c>
      <c r="H181" t="s">
        <v>22</v>
      </c>
      <c r="I181" t="s">
        <v>23</v>
      </c>
      <c r="J181" t="s">
        <v>24</v>
      </c>
      <c r="K181" t="s">
        <v>25</v>
      </c>
      <c r="L181" t="s">
        <v>26</v>
      </c>
      <c r="M181" t="s">
        <v>27</v>
      </c>
      <c r="N181" t="s">
        <v>25</v>
      </c>
      <c r="O181" t="s">
        <v>37</v>
      </c>
      <c r="P181" t="s">
        <v>38</v>
      </c>
      <c r="Q181">
        <v>1</v>
      </c>
      <c r="R181" t="s">
        <v>905</v>
      </c>
      <c r="S181">
        <v>999</v>
      </c>
      <c r="T181">
        <v>999</v>
      </c>
      <c r="U181">
        <v>999</v>
      </c>
      <c r="V181">
        <v>999</v>
      </c>
      <c r="W181">
        <v>999</v>
      </c>
    </row>
    <row r="182" spans="1:23" x14ac:dyDescent="0.3">
      <c r="A182">
        <v>105181</v>
      </c>
      <c r="B182" t="str">
        <f>CONCATENATE(Table1[[#This Row],[Fname]]," ",Table1[[#This Row],[Lname]])</f>
        <v>Maxim Bois</v>
      </c>
      <c r="C182" t="str">
        <f>CONCATENATE(Table1[[#This Row],[Sex]],"-",Table1[[#This Row],[Column3]])</f>
        <v>M-u14</v>
      </c>
      <c r="D182" t="s">
        <v>226</v>
      </c>
      <c r="E182" t="s">
        <v>225</v>
      </c>
      <c r="F182">
        <v>2013</v>
      </c>
      <c r="G182" t="str">
        <f>_xlfn.XLOOKUP(Table1[[#This Row],[YOB]],Table2[YOB],Table2[Category])</f>
        <v>u14</v>
      </c>
      <c r="H182" t="s">
        <v>22</v>
      </c>
      <c r="I182" t="s">
        <v>222</v>
      </c>
      <c r="J182" t="s">
        <v>223</v>
      </c>
      <c r="K182" t="s">
        <v>25</v>
      </c>
      <c r="L182" t="s">
        <v>26</v>
      </c>
      <c r="M182" t="s">
        <v>27</v>
      </c>
      <c r="N182" t="s">
        <v>25</v>
      </c>
      <c r="O182" t="s">
        <v>37</v>
      </c>
      <c r="P182" t="s">
        <v>38</v>
      </c>
      <c r="Q182">
        <v>1</v>
      </c>
      <c r="R182" t="s">
        <v>905</v>
      </c>
      <c r="S182">
        <v>474.71</v>
      </c>
      <c r="T182">
        <v>472.07</v>
      </c>
      <c r="U182">
        <v>498.58</v>
      </c>
      <c r="V182">
        <v>999</v>
      </c>
      <c r="W182">
        <v>999</v>
      </c>
    </row>
    <row r="183" spans="1:23" x14ac:dyDescent="0.3">
      <c r="A183">
        <v>106380</v>
      </c>
      <c r="B183" t="str">
        <f>CONCATENATE(Table1[[#This Row],[Fname]]," ",Table1[[#This Row],[Lname]])</f>
        <v>Declan Bardsley</v>
      </c>
      <c r="C183" t="str">
        <f>CONCATENATE(Table1[[#This Row],[Sex]],"-",Table1[[#This Row],[Column3]])</f>
        <v>M-u16</v>
      </c>
      <c r="D183" t="s">
        <v>190</v>
      </c>
      <c r="E183" t="s">
        <v>259</v>
      </c>
      <c r="F183">
        <v>2010</v>
      </c>
      <c r="G183" t="str">
        <f>_xlfn.XLOOKUP(Table1[[#This Row],[YOB]],Table2[YOB],Table2[Category])</f>
        <v>u16</v>
      </c>
      <c r="H183" t="s">
        <v>22</v>
      </c>
      <c r="I183" t="s">
        <v>256</v>
      </c>
      <c r="J183" t="s">
        <v>257</v>
      </c>
      <c r="K183" t="s">
        <v>25</v>
      </c>
      <c r="L183" t="s">
        <v>26</v>
      </c>
      <c r="M183" t="s">
        <v>27</v>
      </c>
      <c r="N183" t="s">
        <v>25</v>
      </c>
      <c r="O183" t="s">
        <v>37</v>
      </c>
      <c r="P183" t="s">
        <v>38</v>
      </c>
      <c r="Q183">
        <v>1</v>
      </c>
      <c r="R183" t="s">
        <v>905</v>
      </c>
      <c r="S183">
        <v>403.99</v>
      </c>
      <c r="T183">
        <v>351.86</v>
      </c>
      <c r="U183">
        <v>604.58000000000004</v>
      </c>
      <c r="V183">
        <v>999</v>
      </c>
      <c r="W183">
        <v>999</v>
      </c>
    </row>
    <row r="184" spans="1:23" x14ac:dyDescent="0.3">
      <c r="A184">
        <v>102719</v>
      </c>
      <c r="B184" t="str">
        <f>CONCATENATE(Table1[[#This Row],[Fname]]," ",Table1[[#This Row],[Lname]])</f>
        <v>Liam Houghton</v>
      </c>
      <c r="C184" t="str">
        <f>CONCATENATE(Table1[[#This Row],[Sex]],"-",Table1[[#This Row],[Column3]])</f>
        <v>M-u16</v>
      </c>
      <c r="D184" t="s">
        <v>111</v>
      </c>
      <c r="E184" t="s">
        <v>295</v>
      </c>
      <c r="F184">
        <v>2010</v>
      </c>
      <c r="G184" t="str">
        <f>_xlfn.XLOOKUP(Table1[[#This Row],[YOB]],Table2[YOB],Table2[Category])</f>
        <v>u16</v>
      </c>
      <c r="H184" t="s">
        <v>22</v>
      </c>
      <c r="I184" t="s">
        <v>256</v>
      </c>
      <c r="J184" t="s">
        <v>257</v>
      </c>
      <c r="K184" t="s">
        <v>25</v>
      </c>
      <c r="L184" t="s">
        <v>26</v>
      </c>
      <c r="M184" t="s">
        <v>27</v>
      </c>
      <c r="N184" t="s">
        <v>25</v>
      </c>
      <c r="O184" t="s">
        <v>37</v>
      </c>
      <c r="P184" t="s">
        <v>38</v>
      </c>
      <c r="Q184">
        <v>1</v>
      </c>
      <c r="R184" t="s">
        <v>905</v>
      </c>
      <c r="S184">
        <v>424.69</v>
      </c>
      <c r="T184">
        <v>417.45</v>
      </c>
      <c r="U184">
        <v>613.12</v>
      </c>
      <c r="V184">
        <v>999</v>
      </c>
      <c r="W184">
        <v>999</v>
      </c>
    </row>
    <row r="185" spans="1:23" x14ac:dyDescent="0.3">
      <c r="A185">
        <v>102725</v>
      </c>
      <c r="B185" t="str">
        <f>CONCATENATE(Table1[[#This Row],[Fname]]," ",Table1[[#This Row],[Lname]])</f>
        <v>Hudson Hovey</v>
      </c>
      <c r="C185" t="str">
        <f>CONCATENATE(Table1[[#This Row],[Sex]],"-",Table1[[#This Row],[Column3]])</f>
        <v>M-u16</v>
      </c>
      <c r="D185" t="s">
        <v>296</v>
      </c>
      <c r="E185" t="s">
        <v>297</v>
      </c>
      <c r="F185">
        <v>2010</v>
      </c>
      <c r="G185" t="str">
        <f>_xlfn.XLOOKUP(Table1[[#This Row],[YOB]],Table2[YOB],Table2[Category])</f>
        <v>u16</v>
      </c>
      <c r="H185" t="s">
        <v>22</v>
      </c>
      <c r="I185" t="s">
        <v>256</v>
      </c>
      <c r="J185" t="s">
        <v>257</v>
      </c>
      <c r="K185" t="s">
        <v>25</v>
      </c>
      <c r="L185" t="s">
        <v>26</v>
      </c>
      <c r="M185" t="s">
        <v>27</v>
      </c>
      <c r="N185" t="s">
        <v>25</v>
      </c>
      <c r="O185" t="s">
        <v>37</v>
      </c>
      <c r="P185" t="s">
        <v>38</v>
      </c>
      <c r="Q185">
        <v>1</v>
      </c>
      <c r="R185" t="s">
        <v>905</v>
      </c>
      <c r="S185">
        <v>394.29</v>
      </c>
      <c r="T185">
        <v>367.12</v>
      </c>
      <c r="U185">
        <v>579.80999999999995</v>
      </c>
      <c r="V185">
        <v>999</v>
      </c>
      <c r="W185">
        <v>999</v>
      </c>
    </row>
    <row r="186" spans="1:23" x14ac:dyDescent="0.3">
      <c r="A186">
        <v>117685</v>
      </c>
      <c r="B186" t="str">
        <f>CONCATENATE(Table1[[#This Row],[Fname]]," ",Table1[[#This Row],[Lname]])</f>
        <v>Lucas Slack</v>
      </c>
      <c r="C186" t="str">
        <f>CONCATENATE(Table1[[#This Row],[Sex]],"-",Table1[[#This Row],[Column3]])</f>
        <v>M-u16</v>
      </c>
      <c r="D186" t="s">
        <v>340</v>
      </c>
      <c r="E186" t="s">
        <v>341</v>
      </c>
      <c r="F186">
        <v>2011</v>
      </c>
      <c r="G186" t="str">
        <f>_xlfn.XLOOKUP(Table1[[#This Row],[YOB]],Table2[YOB],Table2[Category])</f>
        <v>u16</v>
      </c>
      <c r="H186" t="s">
        <v>22</v>
      </c>
      <c r="I186" t="s">
        <v>256</v>
      </c>
      <c r="J186" t="s">
        <v>257</v>
      </c>
      <c r="K186" t="s">
        <v>25</v>
      </c>
      <c r="L186" t="s">
        <v>26</v>
      </c>
      <c r="M186" t="s">
        <v>27</v>
      </c>
      <c r="N186" t="s">
        <v>25</v>
      </c>
      <c r="O186" t="s">
        <v>37</v>
      </c>
      <c r="P186" t="s">
        <v>38</v>
      </c>
      <c r="Q186">
        <v>1</v>
      </c>
      <c r="R186" t="s">
        <v>905</v>
      </c>
      <c r="S186">
        <v>415.11</v>
      </c>
      <c r="T186">
        <v>465.74</v>
      </c>
      <c r="U186">
        <v>596.87</v>
      </c>
      <c r="V186">
        <v>999</v>
      </c>
      <c r="W186">
        <v>999</v>
      </c>
    </row>
    <row r="187" spans="1:23" x14ac:dyDescent="0.3">
      <c r="A187">
        <v>102722</v>
      </c>
      <c r="B187" t="str">
        <f>CONCATENATE(Table1[[#This Row],[Fname]]," ",Table1[[#This Row],[Lname]])</f>
        <v>Declan White</v>
      </c>
      <c r="C187" t="str">
        <f>CONCATENATE(Table1[[#This Row],[Sex]],"-",Table1[[#This Row],[Column3]])</f>
        <v>M-u16</v>
      </c>
      <c r="D187" t="s">
        <v>190</v>
      </c>
      <c r="E187" t="s">
        <v>214</v>
      </c>
      <c r="F187">
        <v>2011</v>
      </c>
      <c r="G187" t="str">
        <f>_xlfn.XLOOKUP(Table1[[#This Row],[YOB]],Table2[YOB],Table2[Category])</f>
        <v>u16</v>
      </c>
      <c r="H187" t="s">
        <v>22</v>
      </c>
      <c r="I187" t="s">
        <v>256</v>
      </c>
      <c r="J187" t="s">
        <v>257</v>
      </c>
      <c r="K187" t="s">
        <v>25</v>
      </c>
      <c r="L187" t="s">
        <v>26</v>
      </c>
      <c r="M187" t="s">
        <v>27</v>
      </c>
      <c r="N187" t="s">
        <v>25</v>
      </c>
      <c r="O187" t="s">
        <v>37</v>
      </c>
      <c r="P187" t="s">
        <v>38</v>
      </c>
      <c r="Q187">
        <v>1</v>
      </c>
      <c r="R187" t="s">
        <v>905</v>
      </c>
      <c r="S187">
        <v>392.12</v>
      </c>
      <c r="T187">
        <v>359.81</v>
      </c>
      <c r="U187">
        <v>617.54</v>
      </c>
      <c r="V187">
        <v>999</v>
      </c>
      <c r="W187">
        <v>999</v>
      </c>
    </row>
    <row r="188" spans="1:23" x14ac:dyDescent="0.3">
      <c r="A188">
        <v>88776</v>
      </c>
      <c r="B188" t="str">
        <f>CONCATENATE(Table1[[#This Row],[Fname]]," ",Table1[[#This Row],[Lname]])</f>
        <v>Esau Bennett</v>
      </c>
      <c r="C188" t="str">
        <f>CONCATENATE(Table1[[#This Row],[Sex]],"-",Table1[[#This Row],[Column3]])</f>
        <v>M-u16</v>
      </c>
      <c r="D188" t="s">
        <v>49</v>
      </c>
      <c r="E188" t="s">
        <v>50</v>
      </c>
      <c r="F188">
        <v>2010</v>
      </c>
      <c r="G188" t="str">
        <f>_xlfn.XLOOKUP(Table1[[#This Row],[YOB]],Table2[YOB],Table2[Category])</f>
        <v>u16</v>
      </c>
      <c r="H188" t="s">
        <v>22</v>
      </c>
      <c r="I188" t="s">
        <v>23</v>
      </c>
      <c r="J188" t="s">
        <v>24</v>
      </c>
      <c r="K188" t="s">
        <v>25</v>
      </c>
      <c r="L188" t="s">
        <v>26</v>
      </c>
      <c r="M188" t="s">
        <v>27</v>
      </c>
      <c r="N188" t="s">
        <v>25</v>
      </c>
      <c r="O188" t="s">
        <v>37</v>
      </c>
      <c r="P188" t="s">
        <v>38</v>
      </c>
      <c r="Q188">
        <v>1</v>
      </c>
      <c r="R188" t="s">
        <v>905</v>
      </c>
      <c r="S188">
        <v>474.51</v>
      </c>
      <c r="T188">
        <v>451.27</v>
      </c>
      <c r="U188">
        <v>642.67999999999995</v>
      </c>
      <c r="V188">
        <v>999</v>
      </c>
      <c r="W188">
        <v>999</v>
      </c>
    </row>
    <row r="189" spans="1:23" x14ac:dyDescent="0.3">
      <c r="A189">
        <v>89867</v>
      </c>
      <c r="B189" t="str">
        <f>CONCATENATE(Table1[[#This Row],[Fname]]," ",Table1[[#This Row],[Lname]])</f>
        <v>Holden Doherty</v>
      </c>
      <c r="C189" t="str">
        <f>CONCATENATE(Table1[[#This Row],[Sex]],"-",Table1[[#This Row],[Column3]])</f>
        <v>M-u16</v>
      </c>
      <c r="D189" t="s">
        <v>75</v>
      </c>
      <c r="E189" t="s">
        <v>76</v>
      </c>
      <c r="F189">
        <v>2011</v>
      </c>
      <c r="G189" t="str">
        <f>_xlfn.XLOOKUP(Table1[[#This Row],[YOB]],Table2[YOB],Table2[Category])</f>
        <v>u16</v>
      </c>
      <c r="H189" t="s">
        <v>22</v>
      </c>
      <c r="I189" t="s">
        <v>23</v>
      </c>
      <c r="J189" t="s">
        <v>24</v>
      </c>
      <c r="K189" t="s">
        <v>25</v>
      </c>
      <c r="L189" t="s">
        <v>26</v>
      </c>
      <c r="M189" t="s">
        <v>27</v>
      </c>
      <c r="N189" t="s">
        <v>25</v>
      </c>
      <c r="O189" t="s">
        <v>37</v>
      </c>
      <c r="P189" t="s">
        <v>38</v>
      </c>
      <c r="Q189">
        <v>1</v>
      </c>
      <c r="R189" t="s">
        <v>905</v>
      </c>
      <c r="S189">
        <v>374.11</v>
      </c>
      <c r="T189">
        <v>328.82</v>
      </c>
      <c r="U189">
        <v>590.95000000000005</v>
      </c>
      <c r="V189">
        <v>999</v>
      </c>
      <c r="W189">
        <v>999</v>
      </c>
    </row>
    <row r="190" spans="1:23" x14ac:dyDescent="0.3">
      <c r="A190">
        <v>93749</v>
      </c>
      <c r="B190" t="str">
        <f>CONCATENATE(Table1[[#This Row],[Fname]]," ",Table1[[#This Row],[Lname]])</f>
        <v>Larkin Ellis</v>
      </c>
      <c r="C190" t="str">
        <f>CONCATENATE(Table1[[#This Row],[Sex]],"-",Table1[[#This Row],[Column3]])</f>
        <v>M-u16</v>
      </c>
      <c r="D190" t="s">
        <v>77</v>
      </c>
      <c r="E190" t="s">
        <v>78</v>
      </c>
      <c r="F190">
        <v>2010</v>
      </c>
      <c r="G190" t="str">
        <f>_xlfn.XLOOKUP(Table1[[#This Row],[YOB]],Table2[YOB],Table2[Category])</f>
        <v>u16</v>
      </c>
      <c r="H190" t="s">
        <v>22</v>
      </c>
      <c r="I190" t="s">
        <v>23</v>
      </c>
      <c r="J190" t="s">
        <v>24</v>
      </c>
      <c r="K190" t="s">
        <v>25</v>
      </c>
      <c r="L190" t="s">
        <v>26</v>
      </c>
      <c r="M190" t="s">
        <v>27</v>
      </c>
      <c r="N190" t="s">
        <v>25</v>
      </c>
      <c r="O190" t="s">
        <v>37</v>
      </c>
      <c r="P190" t="s">
        <v>38</v>
      </c>
      <c r="Q190">
        <v>1</v>
      </c>
      <c r="R190" t="s">
        <v>905</v>
      </c>
      <c r="S190">
        <v>383.02</v>
      </c>
      <c r="T190">
        <v>379.42</v>
      </c>
      <c r="U190">
        <v>575.62</v>
      </c>
      <c r="V190">
        <v>999</v>
      </c>
      <c r="W190">
        <v>999</v>
      </c>
    </row>
    <row r="191" spans="1:23" x14ac:dyDescent="0.3">
      <c r="A191">
        <v>88784</v>
      </c>
      <c r="B191" t="str">
        <f>CONCATENATE(Table1[[#This Row],[Fname]]," ",Table1[[#This Row],[Lname]])</f>
        <v>Baxter MacDow</v>
      </c>
      <c r="C191" t="str">
        <f>CONCATENATE(Table1[[#This Row],[Sex]],"-",Table1[[#This Row],[Column3]])</f>
        <v>M-u16</v>
      </c>
      <c r="D191" t="s">
        <v>130</v>
      </c>
      <c r="E191" t="s">
        <v>131</v>
      </c>
      <c r="F191">
        <v>2011</v>
      </c>
      <c r="G191" t="str">
        <f>_xlfn.XLOOKUP(Table1[[#This Row],[YOB]],Table2[YOB],Table2[Category])</f>
        <v>u16</v>
      </c>
      <c r="H191" t="s">
        <v>22</v>
      </c>
      <c r="I191" t="s">
        <v>23</v>
      </c>
      <c r="J191" t="s">
        <v>24</v>
      </c>
      <c r="K191" t="s">
        <v>25</v>
      </c>
      <c r="L191" t="s">
        <v>26</v>
      </c>
      <c r="M191" t="s">
        <v>27</v>
      </c>
      <c r="N191" t="s">
        <v>25</v>
      </c>
      <c r="O191" t="s">
        <v>37</v>
      </c>
      <c r="P191" t="s">
        <v>38</v>
      </c>
      <c r="Q191">
        <v>1</v>
      </c>
      <c r="R191" t="s">
        <v>905</v>
      </c>
      <c r="S191">
        <v>351.34</v>
      </c>
      <c r="T191">
        <v>352.06</v>
      </c>
      <c r="U191">
        <v>596.51</v>
      </c>
      <c r="V191">
        <v>999</v>
      </c>
      <c r="W191">
        <v>999</v>
      </c>
    </row>
    <row r="192" spans="1:23" x14ac:dyDescent="0.3">
      <c r="A192">
        <v>87565</v>
      </c>
      <c r="B192" t="str">
        <f>CONCATENATE(Table1[[#This Row],[Fname]]," ",Table1[[#This Row],[Lname]])</f>
        <v>Caelan Slattery</v>
      </c>
      <c r="C192" t="str">
        <f>CONCATENATE(Table1[[#This Row],[Sex]],"-",Table1[[#This Row],[Column3]])</f>
        <v>M-u16</v>
      </c>
      <c r="D192" t="s">
        <v>924</v>
      </c>
      <c r="E192" t="s">
        <v>194</v>
      </c>
      <c r="F192">
        <v>2010</v>
      </c>
      <c r="G192" t="str">
        <f>_xlfn.XLOOKUP(Table1[[#This Row],[YOB]],Table2[YOB],Table2[Category])</f>
        <v>u16</v>
      </c>
      <c r="H192" t="s">
        <v>22</v>
      </c>
      <c r="I192" t="s">
        <v>23</v>
      </c>
      <c r="J192" t="s">
        <v>24</v>
      </c>
      <c r="K192" t="s">
        <v>25</v>
      </c>
      <c r="L192" t="s">
        <v>26</v>
      </c>
      <c r="M192" t="s">
        <v>27</v>
      </c>
      <c r="N192" t="s">
        <v>25</v>
      </c>
      <c r="O192" t="s">
        <v>37</v>
      </c>
      <c r="P192" t="s">
        <v>38</v>
      </c>
      <c r="Q192">
        <v>1</v>
      </c>
      <c r="R192" t="s">
        <v>905</v>
      </c>
      <c r="S192">
        <v>460.88</v>
      </c>
      <c r="T192">
        <v>442.84</v>
      </c>
      <c r="U192">
        <v>568.54</v>
      </c>
      <c r="V192">
        <v>999</v>
      </c>
      <c r="W192">
        <v>999</v>
      </c>
    </row>
    <row r="193" spans="1:23" x14ac:dyDescent="0.3">
      <c r="A193">
        <v>88937</v>
      </c>
      <c r="B193" t="str">
        <f>CONCATENATE(Table1[[#This Row],[Fname]]," ",Table1[[#This Row],[Lname]])</f>
        <v>Robbie Stevenson</v>
      </c>
      <c r="C193" t="str">
        <f>CONCATENATE(Table1[[#This Row],[Sex]],"-",Table1[[#This Row],[Column3]])</f>
        <v>M-u16</v>
      </c>
      <c r="D193" t="s">
        <v>200</v>
      </c>
      <c r="E193" t="s">
        <v>201</v>
      </c>
      <c r="F193">
        <v>2010</v>
      </c>
      <c r="G193" t="str">
        <f>_xlfn.XLOOKUP(Table1[[#This Row],[YOB]],Table2[YOB],Table2[Category])</f>
        <v>u16</v>
      </c>
      <c r="H193" t="s">
        <v>22</v>
      </c>
      <c r="I193" t="s">
        <v>23</v>
      </c>
      <c r="J193" t="s">
        <v>24</v>
      </c>
      <c r="K193" t="s">
        <v>25</v>
      </c>
      <c r="L193" t="s">
        <v>26</v>
      </c>
      <c r="M193" t="s">
        <v>27</v>
      </c>
      <c r="N193" t="s">
        <v>25</v>
      </c>
      <c r="O193" t="s">
        <v>37</v>
      </c>
      <c r="P193" t="s">
        <v>38</v>
      </c>
      <c r="Q193">
        <v>1</v>
      </c>
      <c r="R193" t="s">
        <v>905</v>
      </c>
      <c r="S193">
        <v>310.52999999999997</v>
      </c>
      <c r="T193">
        <v>369.78</v>
      </c>
      <c r="U193">
        <v>551.54999999999995</v>
      </c>
      <c r="V193">
        <v>999</v>
      </c>
      <c r="W193">
        <v>999</v>
      </c>
    </row>
    <row r="194" spans="1:23" x14ac:dyDescent="0.3">
      <c r="A194">
        <v>89651</v>
      </c>
      <c r="B194" t="str">
        <f>CONCATENATE(Table1[[#This Row],[Fname]]," ",Table1[[#This Row],[Lname]])</f>
        <v>Vincent Viens</v>
      </c>
      <c r="C194" t="str">
        <f>CONCATENATE(Table1[[#This Row],[Sex]],"-",Table1[[#This Row],[Column3]])</f>
        <v>M-u16</v>
      </c>
      <c r="D194" t="s">
        <v>208</v>
      </c>
      <c r="E194" t="s">
        <v>209</v>
      </c>
      <c r="F194">
        <v>2010</v>
      </c>
      <c r="G194" t="str">
        <f>_xlfn.XLOOKUP(Table1[[#This Row],[YOB]],Table2[YOB],Table2[Category])</f>
        <v>u16</v>
      </c>
      <c r="H194" t="s">
        <v>22</v>
      </c>
      <c r="I194" t="s">
        <v>23</v>
      </c>
      <c r="J194" t="s">
        <v>24</v>
      </c>
      <c r="K194" t="s">
        <v>25</v>
      </c>
      <c r="L194" t="s">
        <v>26</v>
      </c>
      <c r="M194" t="s">
        <v>27</v>
      </c>
      <c r="N194" t="s">
        <v>25</v>
      </c>
      <c r="O194" t="s">
        <v>37</v>
      </c>
      <c r="P194" t="s">
        <v>38</v>
      </c>
      <c r="Q194">
        <v>1</v>
      </c>
      <c r="R194" t="s">
        <v>905</v>
      </c>
      <c r="S194">
        <v>318.52999999999997</v>
      </c>
      <c r="T194">
        <v>317.95</v>
      </c>
      <c r="U194">
        <v>527.80999999999995</v>
      </c>
      <c r="V194">
        <v>999</v>
      </c>
      <c r="W194">
        <v>999</v>
      </c>
    </row>
    <row r="195" spans="1:23" x14ac:dyDescent="0.3">
      <c r="A195">
        <v>93462</v>
      </c>
      <c r="B195" t="str">
        <f>CONCATENATE(Table1[[#This Row],[Fname]]," ",Table1[[#This Row],[Lname]])</f>
        <v>Liam Andersen Duguay</v>
      </c>
      <c r="C195" t="str">
        <f>CONCATENATE(Table1[[#This Row],[Sex]],"-",Table1[[#This Row],[Column3]])</f>
        <v>M-u16</v>
      </c>
      <c r="D195" t="s">
        <v>234</v>
      </c>
      <c r="E195" t="s">
        <v>235</v>
      </c>
      <c r="F195">
        <v>2011</v>
      </c>
      <c r="G195" t="str">
        <f>_xlfn.XLOOKUP(Table1[[#This Row],[YOB]],Table2[YOB],Table2[Category])</f>
        <v>u16</v>
      </c>
      <c r="H195" t="s">
        <v>22</v>
      </c>
      <c r="I195" t="s">
        <v>222</v>
      </c>
      <c r="J195" t="s">
        <v>223</v>
      </c>
      <c r="K195" t="s">
        <v>25</v>
      </c>
      <c r="L195" t="s">
        <v>26</v>
      </c>
      <c r="M195" t="s">
        <v>27</v>
      </c>
      <c r="N195" t="s">
        <v>25</v>
      </c>
      <c r="O195" t="s">
        <v>37</v>
      </c>
      <c r="P195" t="s">
        <v>38</v>
      </c>
      <c r="Q195">
        <v>1</v>
      </c>
      <c r="R195" t="s">
        <v>905</v>
      </c>
      <c r="S195">
        <v>371.14</v>
      </c>
      <c r="T195">
        <v>395.08</v>
      </c>
      <c r="U195">
        <v>616.37</v>
      </c>
      <c r="V195">
        <v>999</v>
      </c>
      <c r="W195">
        <v>999</v>
      </c>
    </row>
    <row r="196" spans="1:23" x14ac:dyDescent="0.3">
      <c r="A196">
        <v>102458</v>
      </c>
      <c r="B196" t="str">
        <f>CONCATENATE(Table1[[#This Row],[Fname]]," ",Table1[[#This Row],[Lname]])</f>
        <v>Isak Picard</v>
      </c>
      <c r="C196" t="str">
        <f>CONCATENATE(Table1[[#This Row],[Sex]],"-",Table1[[#This Row],[Column3]])</f>
        <v>M-u16</v>
      </c>
      <c r="D196" t="s">
        <v>244</v>
      </c>
      <c r="E196" t="s">
        <v>245</v>
      </c>
      <c r="F196">
        <v>2011</v>
      </c>
      <c r="G196" t="str">
        <f>_xlfn.XLOOKUP(Table1[[#This Row],[YOB]],Table2[YOB],Table2[Category])</f>
        <v>u16</v>
      </c>
      <c r="H196" t="s">
        <v>22</v>
      </c>
      <c r="I196" t="s">
        <v>222</v>
      </c>
      <c r="J196" t="s">
        <v>223</v>
      </c>
      <c r="K196" t="s">
        <v>25</v>
      </c>
      <c r="L196" t="s">
        <v>26</v>
      </c>
      <c r="M196" t="s">
        <v>27</v>
      </c>
      <c r="N196" t="s">
        <v>25</v>
      </c>
      <c r="O196" t="s">
        <v>37</v>
      </c>
      <c r="P196" t="s">
        <v>38</v>
      </c>
      <c r="Q196">
        <v>1</v>
      </c>
      <c r="R196" t="s">
        <v>905</v>
      </c>
      <c r="S196">
        <v>312.39999999999998</v>
      </c>
      <c r="T196">
        <v>361.68</v>
      </c>
      <c r="U196">
        <v>594.54</v>
      </c>
      <c r="V196">
        <v>999</v>
      </c>
      <c r="W196">
        <v>999</v>
      </c>
    </row>
    <row r="197" spans="1:23" x14ac:dyDescent="0.3">
      <c r="A197">
        <v>87497</v>
      </c>
      <c r="B197" t="str">
        <f>CONCATENATE(Table1[[#This Row],[Fname]]," ",Table1[[#This Row],[Lname]])</f>
        <v>Josef Derrah</v>
      </c>
      <c r="C197" t="str">
        <f>CONCATENATE(Table1[[#This Row],[Sex]],"-",Table1[[#This Row],[Column3]])</f>
        <v>M-u19</v>
      </c>
      <c r="D197" t="s">
        <v>281</v>
      </c>
      <c r="E197" t="s">
        <v>282</v>
      </c>
      <c r="F197">
        <v>2008</v>
      </c>
      <c r="G197" t="str">
        <f>_xlfn.XLOOKUP(Table1[[#This Row],[YOB]],Table2[YOB],Table2[Category])</f>
        <v>u19</v>
      </c>
      <c r="H197" t="s">
        <v>22</v>
      </c>
      <c r="I197" t="s">
        <v>256</v>
      </c>
      <c r="J197" t="s">
        <v>257</v>
      </c>
      <c r="K197" t="s">
        <v>25</v>
      </c>
      <c r="L197" t="s">
        <v>26</v>
      </c>
      <c r="M197" t="s">
        <v>27</v>
      </c>
      <c r="N197" t="s">
        <v>25</v>
      </c>
      <c r="O197" t="s">
        <v>37</v>
      </c>
      <c r="P197" t="s">
        <v>38</v>
      </c>
      <c r="Q197">
        <v>1</v>
      </c>
      <c r="R197" t="s">
        <v>905</v>
      </c>
      <c r="S197">
        <v>229.5</v>
      </c>
      <c r="T197">
        <v>201.56</v>
      </c>
      <c r="U197">
        <v>547.63</v>
      </c>
      <c r="V197">
        <v>999</v>
      </c>
      <c r="W197">
        <v>999</v>
      </c>
    </row>
    <row r="198" spans="1:23" x14ac:dyDescent="0.3">
      <c r="A198">
        <v>127414</v>
      </c>
      <c r="B198" t="str">
        <f>CONCATENATE(Table1[[#This Row],[Fname]]," ",Table1[[#This Row],[Lname]])</f>
        <v>Mark Derrah</v>
      </c>
      <c r="C198" t="str">
        <f>CONCATENATE(Table1[[#This Row],[Sex]],"-",Table1[[#This Row],[Column3]])</f>
        <v>M-u19</v>
      </c>
      <c r="D198" t="s">
        <v>907</v>
      </c>
      <c r="E198" t="s">
        <v>282</v>
      </c>
      <c r="F198">
        <v>2008</v>
      </c>
      <c r="G198" t="str">
        <f>_xlfn.XLOOKUP(Table1[[#This Row],[YOB]],Table2[YOB],Table2[Category])</f>
        <v>u19</v>
      </c>
      <c r="H198" t="s">
        <v>22</v>
      </c>
      <c r="I198" t="s">
        <v>256</v>
      </c>
      <c r="J198" t="s">
        <v>257</v>
      </c>
      <c r="K198" t="s">
        <v>25</v>
      </c>
      <c r="L198" t="s">
        <v>26</v>
      </c>
      <c r="M198" t="s">
        <v>27</v>
      </c>
      <c r="N198" t="s">
        <v>25</v>
      </c>
      <c r="O198" t="s">
        <v>37</v>
      </c>
      <c r="P198" t="s">
        <v>38</v>
      </c>
      <c r="Q198">
        <v>1</v>
      </c>
      <c r="R198" t="s">
        <v>905</v>
      </c>
      <c r="S198">
        <v>999</v>
      </c>
      <c r="T198">
        <v>999</v>
      </c>
      <c r="U198">
        <v>999</v>
      </c>
      <c r="V198">
        <v>999</v>
      </c>
      <c r="W198">
        <v>999</v>
      </c>
    </row>
    <row r="199" spans="1:23" x14ac:dyDescent="0.3">
      <c r="A199">
        <v>108195</v>
      </c>
      <c r="B199" t="str">
        <f>CONCATENATE(Table1[[#This Row],[Fname]]," ",Table1[[#This Row],[Lname]])</f>
        <v>Mack Leger</v>
      </c>
      <c r="C199" t="str">
        <f>CONCATENATE(Table1[[#This Row],[Sex]],"-",Table1[[#This Row],[Column3]])</f>
        <v>M-u19</v>
      </c>
      <c r="D199" t="s">
        <v>911</v>
      </c>
      <c r="E199" t="s">
        <v>912</v>
      </c>
      <c r="F199">
        <v>2009</v>
      </c>
      <c r="G199" t="str">
        <f>_xlfn.XLOOKUP(Table1[[#This Row],[YOB]],Table2[YOB],Table2[Category])</f>
        <v>u19</v>
      </c>
      <c r="H199" t="s">
        <v>22</v>
      </c>
      <c r="I199" t="s">
        <v>256</v>
      </c>
      <c r="J199" t="s">
        <v>257</v>
      </c>
      <c r="K199" t="s">
        <v>25</v>
      </c>
      <c r="L199" t="s">
        <v>26</v>
      </c>
      <c r="M199" t="s">
        <v>27</v>
      </c>
      <c r="N199" t="s">
        <v>25</v>
      </c>
      <c r="O199" t="s">
        <v>37</v>
      </c>
      <c r="P199" t="s">
        <v>38</v>
      </c>
      <c r="Q199">
        <v>1</v>
      </c>
      <c r="R199" t="s">
        <v>905</v>
      </c>
      <c r="S199">
        <v>445.02</v>
      </c>
      <c r="T199">
        <v>343.34</v>
      </c>
      <c r="U199">
        <v>564.73</v>
      </c>
      <c r="V199">
        <v>999</v>
      </c>
      <c r="W199">
        <v>999</v>
      </c>
    </row>
    <row r="200" spans="1:23" x14ac:dyDescent="0.3">
      <c r="A200">
        <v>84268</v>
      </c>
      <c r="B200" t="str">
        <f>CONCATENATE(Table1[[#This Row],[Fname]]," ",Table1[[#This Row],[Lname]])</f>
        <v>Simon Arsenault</v>
      </c>
      <c r="C200" t="str">
        <f>CONCATENATE(Table1[[#This Row],[Sex]],"-",Table1[[#This Row],[Column3]])</f>
        <v>M-u19</v>
      </c>
      <c r="D200" t="s">
        <v>39</v>
      </c>
      <c r="E200" t="s">
        <v>35</v>
      </c>
      <c r="F200">
        <v>2008</v>
      </c>
      <c r="G200" t="str">
        <f>_xlfn.XLOOKUP(Table1[[#This Row],[YOB]],Table2[YOB],Table2[Category])</f>
        <v>u19</v>
      </c>
      <c r="H200" t="s">
        <v>22</v>
      </c>
      <c r="I200" t="s">
        <v>23</v>
      </c>
      <c r="J200" t="s">
        <v>24</v>
      </c>
      <c r="K200" t="s">
        <v>25</v>
      </c>
      <c r="L200" t="s">
        <v>26</v>
      </c>
      <c r="M200" t="s">
        <v>27</v>
      </c>
      <c r="N200" t="s">
        <v>25</v>
      </c>
      <c r="O200" t="s">
        <v>37</v>
      </c>
      <c r="P200" t="s">
        <v>38</v>
      </c>
      <c r="Q200">
        <v>1</v>
      </c>
      <c r="R200" t="s">
        <v>905</v>
      </c>
      <c r="S200">
        <v>87.64</v>
      </c>
      <c r="T200">
        <v>66.55</v>
      </c>
      <c r="U200">
        <v>79.5</v>
      </c>
      <c r="V200">
        <v>132.35</v>
      </c>
      <c r="W200">
        <v>999</v>
      </c>
    </row>
    <row r="201" spans="1:23" x14ac:dyDescent="0.3">
      <c r="A201">
        <v>93748</v>
      </c>
      <c r="B201" t="str">
        <f>CONCATENATE(Table1[[#This Row],[Fname]]," ",Table1[[#This Row],[Lname]])</f>
        <v>Patrick Dupuis</v>
      </c>
      <c r="C201" t="str">
        <f>CONCATENATE(Table1[[#This Row],[Sex]],"-",Table1[[#This Row],[Column3]])</f>
        <v>M-u19</v>
      </c>
      <c r="D201" t="s">
        <v>920</v>
      </c>
      <c r="E201" t="s">
        <v>921</v>
      </c>
      <c r="F201">
        <v>2009</v>
      </c>
      <c r="G201" t="str">
        <f>_xlfn.XLOOKUP(Table1[[#This Row],[YOB]],Table2[YOB],Table2[Category])</f>
        <v>u19</v>
      </c>
      <c r="H201" t="s">
        <v>22</v>
      </c>
      <c r="I201" t="s">
        <v>23</v>
      </c>
      <c r="J201" t="s">
        <v>24</v>
      </c>
      <c r="K201" t="s">
        <v>25</v>
      </c>
      <c r="L201" t="s">
        <v>26</v>
      </c>
      <c r="M201" t="s">
        <v>27</v>
      </c>
      <c r="N201" t="s">
        <v>25</v>
      </c>
      <c r="O201" t="s">
        <v>37</v>
      </c>
      <c r="P201" t="s">
        <v>38</v>
      </c>
      <c r="Q201">
        <v>1</v>
      </c>
      <c r="R201" t="s">
        <v>905</v>
      </c>
      <c r="S201">
        <v>340.78</v>
      </c>
      <c r="T201">
        <v>336.56</v>
      </c>
      <c r="U201">
        <v>520.08000000000004</v>
      </c>
      <c r="V201">
        <v>999</v>
      </c>
      <c r="W201">
        <v>999</v>
      </c>
    </row>
    <row r="202" spans="1:23" x14ac:dyDescent="0.3">
      <c r="A202">
        <v>84474</v>
      </c>
      <c r="B202" t="str">
        <f>CONCATENATE(Table1[[#This Row],[Fname]]," ",Table1[[#This Row],[Lname]])</f>
        <v>Nathan Lee</v>
      </c>
      <c r="C202" t="str">
        <f>CONCATENATE(Table1[[#This Row],[Sex]],"-",Table1[[#This Row],[Column3]])</f>
        <v>M-u19</v>
      </c>
      <c r="D202" t="s">
        <v>125</v>
      </c>
      <c r="E202" t="s">
        <v>124</v>
      </c>
      <c r="F202">
        <v>2009</v>
      </c>
      <c r="G202" t="str">
        <f>_xlfn.XLOOKUP(Table1[[#This Row],[YOB]],Table2[YOB],Table2[Category])</f>
        <v>u19</v>
      </c>
      <c r="H202" t="s">
        <v>22</v>
      </c>
      <c r="I202" t="s">
        <v>23</v>
      </c>
      <c r="J202" t="s">
        <v>24</v>
      </c>
      <c r="K202" t="s">
        <v>25</v>
      </c>
      <c r="L202" t="s">
        <v>26</v>
      </c>
      <c r="M202" t="s">
        <v>27</v>
      </c>
      <c r="N202" t="s">
        <v>25</v>
      </c>
      <c r="O202" t="s">
        <v>37</v>
      </c>
      <c r="P202" t="s">
        <v>38</v>
      </c>
      <c r="Q202">
        <v>1</v>
      </c>
      <c r="R202" t="s">
        <v>905</v>
      </c>
      <c r="S202">
        <v>294.95999999999998</v>
      </c>
      <c r="T202">
        <v>293.18</v>
      </c>
      <c r="U202">
        <v>481.96</v>
      </c>
      <c r="V202">
        <v>999</v>
      </c>
      <c r="W202">
        <v>999</v>
      </c>
    </row>
    <row r="203" spans="1:23" x14ac:dyDescent="0.3">
      <c r="A203">
        <v>104657</v>
      </c>
      <c r="B203" t="str">
        <f>CONCATENATE(Table1[[#This Row],[Fname]]," ",Table1[[#This Row],[Lname]])</f>
        <v>Grant Morin</v>
      </c>
      <c r="C203" t="str">
        <f>CONCATENATE(Table1[[#This Row],[Sex]],"-",Table1[[#This Row],[Column3]])</f>
        <v>M-u19</v>
      </c>
      <c r="D203" t="s">
        <v>20</v>
      </c>
      <c r="E203" t="s">
        <v>151</v>
      </c>
      <c r="F203">
        <v>2009</v>
      </c>
      <c r="G203" t="str">
        <f>_xlfn.XLOOKUP(Table1[[#This Row],[YOB]],Table2[YOB],Table2[Category])</f>
        <v>u19</v>
      </c>
      <c r="H203" t="s">
        <v>22</v>
      </c>
      <c r="I203" t="s">
        <v>23</v>
      </c>
      <c r="J203" t="s">
        <v>24</v>
      </c>
      <c r="K203" t="s">
        <v>25</v>
      </c>
      <c r="L203" t="s">
        <v>26</v>
      </c>
      <c r="M203" t="s">
        <v>27</v>
      </c>
      <c r="N203" t="s">
        <v>25</v>
      </c>
      <c r="O203" t="s">
        <v>37</v>
      </c>
      <c r="P203" t="s">
        <v>38</v>
      </c>
      <c r="Q203">
        <v>1</v>
      </c>
      <c r="R203" t="s">
        <v>905</v>
      </c>
      <c r="S203">
        <v>398.4</v>
      </c>
      <c r="T203">
        <v>373.35</v>
      </c>
      <c r="U203">
        <v>565.32000000000005</v>
      </c>
      <c r="V203">
        <v>999</v>
      </c>
      <c r="W203">
        <v>999</v>
      </c>
    </row>
    <row r="204" spans="1:23" x14ac:dyDescent="0.3">
      <c r="A204">
        <v>126692</v>
      </c>
      <c r="B204" t="str">
        <f>CONCATENATE(Table1[[#This Row],[Fname]]," ",Table1[[#This Row],[Lname]])</f>
        <v>Arthur Henckaerts</v>
      </c>
      <c r="C204" t="str">
        <f>CONCATENATE(Table1[[#This Row],[Sex]],"-",Table1[[#This Row],[Column3]])</f>
        <v>M-u19</v>
      </c>
      <c r="D204" t="s">
        <v>237</v>
      </c>
      <c r="E204" t="s">
        <v>238</v>
      </c>
      <c r="F204">
        <v>2007</v>
      </c>
      <c r="G204" t="str">
        <f>_xlfn.XLOOKUP(Table1[[#This Row],[YOB]],Table2[YOB],Table2[Category])</f>
        <v>u19</v>
      </c>
      <c r="H204" t="s">
        <v>22</v>
      </c>
      <c r="I204" t="s">
        <v>222</v>
      </c>
      <c r="J204" t="s">
        <v>223</v>
      </c>
      <c r="K204" t="s">
        <v>25</v>
      </c>
      <c r="L204" t="s">
        <v>26</v>
      </c>
      <c r="M204" t="s">
        <v>27</v>
      </c>
      <c r="N204" t="s">
        <v>25</v>
      </c>
      <c r="O204" t="s">
        <v>37</v>
      </c>
      <c r="P204" t="s">
        <v>38</v>
      </c>
      <c r="Q204">
        <v>1</v>
      </c>
      <c r="R204" t="s">
        <v>905</v>
      </c>
      <c r="S204">
        <v>409.57</v>
      </c>
      <c r="T204">
        <v>354.04</v>
      </c>
      <c r="U204">
        <v>795.73</v>
      </c>
      <c r="V204">
        <v>999</v>
      </c>
      <c r="W204">
        <v>999</v>
      </c>
    </row>
    <row r="205" spans="1:23" x14ac:dyDescent="0.3">
      <c r="A205">
        <v>87549</v>
      </c>
      <c r="B205" t="str">
        <f>CONCATENATE(Table1[[#This Row],[Fname]]," ",Table1[[#This Row],[Lname]])</f>
        <v>Jacob Therrien</v>
      </c>
      <c r="C205" t="str">
        <f>CONCATENATE(Table1[[#This Row],[Sex]],"-",Table1[[#This Row],[Column3]])</f>
        <v>M-u19</v>
      </c>
      <c r="D205" t="s">
        <v>252</v>
      </c>
      <c r="E205" t="s">
        <v>253</v>
      </c>
      <c r="F205">
        <v>2008</v>
      </c>
      <c r="G205" t="str">
        <f>_xlfn.XLOOKUP(Table1[[#This Row],[YOB]],Table2[YOB],Table2[Category])</f>
        <v>u19</v>
      </c>
      <c r="H205" t="s">
        <v>22</v>
      </c>
      <c r="I205" t="s">
        <v>222</v>
      </c>
      <c r="J205" t="s">
        <v>223</v>
      </c>
      <c r="K205" t="s">
        <v>25</v>
      </c>
      <c r="L205" t="s">
        <v>26</v>
      </c>
      <c r="M205" t="s">
        <v>27</v>
      </c>
      <c r="N205" t="s">
        <v>25</v>
      </c>
      <c r="O205" t="s">
        <v>37</v>
      </c>
      <c r="P205" t="s">
        <v>38</v>
      </c>
      <c r="Q205">
        <v>1</v>
      </c>
      <c r="R205" t="s">
        <v>905</v>
      </c>
      <c r="S205">
        <v>335.61</v>
      </c>
      <c r="T205">
        <v>285.07</v>
      </c>
      <c r="U205">
        <v>515.4</v>
      </c>
      <c r="V205">
        <v>999</v>
      </c>
      <c r="W205">
        <v>999</v>
      </c>
    </row>
    <row r="206" spans="1:23" x14ac:dyDescent="0.3">
      <c r="A206">
        <v>127405</v>
      </c>
      <c r="B206" t="str">
        <f>CONCATENATE(Table1[[#This Row],[Fname]]," ",Table1[[#This Row],[Lname]])</f>
        <v>Benjamin Belanger</v>
      </c>
      <c r="C206" t="str">
        <f>CONCATENATE(Table1[[#This Row],[Sex]],"-",Table1[[#This Row],[Column3]])</f>
        <v>M-u8</v>
      </c>
      <c r="D206" t="s">
        <v>263</v>
      </c>
      <c r="E206" t="s">
        <v>264</v>
      </c>
      <c r="F206">
        <v>2018</v>
      </c>
      <c r="G206" t="str">
        <f>_xlfn.XLOOKUP(Table1[[#This Row],[YOB]],Table2[YOB],Table2[Category])</f>
        <v>u8</v>
      </c>
      <c r="H206" t="s">
        <v>22</v>
      </c>
      <c r="I206" t="s">
        <v>256</v>
      </c>
      <c r="J206" t="s">
        <v>257</v>
      </c>
      <c r="K206" t="s">
        <v>25</v>
      </c>
      <c r="L206" t="s">
        <v>26</v>
      </c>
      <c r="M206" t="s">
        <v>27</v>
      </c>
      <c r="N206" t="s">
        <v>25</v>
      </c>
      <c r="O206" t="s">
        <v>28</v>
      </c>
      <c r="P206" t="s">
        <v>29</v>
      </c>
      <c r="Q206">
        <v>0</v>
      </c>
      <c r="R206" t="s">
        <v>30</v>
      </c>
      <c r="S206">
        <v>999</v>
      </c>
      <c r="T206">
        <v>999</v>
      </c>
      <c r="U206">
        <v>999</v>
      </c>
      <c r="V206">
        <v>999</v>
      </c>
      <c r="W206">
        <v>999</v>
      </c>
    </row>
    <row r="207" spans="1:23" x14ac:dyDescent="0.3">
      <c r="A207">
        <v>128693</v>
      </c>
      <c r="B207" t="str">
        <f>CONCATENATE(Table1[[#This Row],[Fname]]," ",Table1[[#This Row],[Lname]])</f>
        <v>Dylan Cain</v>
      </c>
      <c r="C207" t="str">
        <f>CONCATENATE(Table1[[#This Row],[Sex]],"-",Table1[[#This Row],[Column3]])</f>
        <v>M-u8</v>
      </c>
      <c r="D207" t="s">
        <v>906</v>
      </c>
      <c r="E207" t="s">
        <v>271</v>
      </c>
      <c r="F207">
        <v>2018</v>
      </c>
      <c r="G207" t="str">
        <f>_xlfn.XLOOKUP(Table1[[#This Row],[YOB]],Table2[YOB],Table2[Category])</f>
        <v>u8</v>
      </c>
      <c r="H207" t="s">
        <v>22</v>
      </c>
      <c r="I207" t="s">
        <v>256</v>
      </c>
      <c r="J207" t="s">
        <v>257</v>
      </c>
      <c r="K207" t="s">
        <v>25</v>
      </c>
      <c r="L207" t="s">
        <v>26</v>
      </c>
      <c r="M207" t="s">
        <v>27</v>
      </c>
      <c r="N207" t="s">
        <v>25</v>
      </c>
      <c r="O207" t="s">
        <v>28</v>
      </c>
      <c r="P207" t="s">
        <v>29</v>
      </c>
      <c r="Q207">
        <v>0</v>
      </c>
      <c r="R207" t="s">
        <v>30</v>
      </c>
      <c r="S207">
        <v>999</v>
      </c>
      <c r="T207">
        <v>999</v>
      </c>
      <c r="U207">
        <v>999</v>
      </c>
      <c r="V207">
        <v>999</v>
      </c>
      <c r="W207">
        <v>999</v>
      </c>
    </row>
    <row r="208" spans="1:23" x14ac:dyDescent="0.3">
      <c r="A208">
        <v>123251</v>
      </c>
      <c r="B208" t="str">
        <f>CONCATENATE(Table1[[#This Row],[Fname]]," ",Table1[[#This Row],[Lname]])</f>
        <v>Grant Acker</v>
      </c>
      <c r="C208" t="str">
        <f>CONCATENATE(Table1[[#This Row],[Sex]],"-",Table1[[#This Row],[Column3]])</f>
        <v>M-u8</v>
      </c>
      <c r="D208" t="s">
        <v>20</v>
      </c>
      <c r="E208" t="s">
        <v>21</v>
      </c>
      <c r="F208">
        <v>2018</v>
      </c>
      <c r="G208" t="str">
        <f>_xlfn.XLOOKUP(Table1[[#This Row],[YOB]],Table2[YOB],Table2[Category])</f>
        <v>u8</v>
      </c>
      <c r="H208" t="s">
        <v>22</v>
      </c>
      <c r="I208" t="s">
        <v>23</v>
      </c>
      <c r="J208" t="s">
        <v>24</v>
      </c>
      <c r="K208" t="s">
        <v>25</v>
      </c>
      <c r="L208" t="s">
        <v>26</v>
      </c>
      <c r="M208" t="s">
        <v>27</v>
      </c>
      <c r="N208" t="s">
        <v>25</v>
      </c>
      <c r="O208" t="s">
        <v>28</v>
      </c>
      <c r="P208" t="s">
        <v>29</v>
      </c>
      <c r="Q208">
        <v>0</v>
      </c>
      <c r="R208" t="s">
        <v>30</v>
      </c>
      <c r="S208">
        <v>999</v>
      </c>
      <c r="T208">
        <v>999</v>
      </c>
      <c r="U208">
        <v>999</v>
      </c>
      <c r="V208">
        <v>999</v>
      </c>
      <c r="W208">
        <v>999</v>
      </c>
    </row>
    <row r="209" spans="1:23" x14ac:dyDescent="0.3">
      <c r="A209">
        <v>126961</v>
      </c>
      <c r="B209" t="str">
        <f>CONCATENATE(Table1[[#This Row],[Fname]]," ",Table1[[#This Row],[Lname]])</f>
        <v>Mercer Betts</v>
      </c>
      <c r="C209" t="str">
        <f>CONCATENATE(Table1[[#This Row],[Sex]],"-",Table1[[#This Row],[Column3]])</f>
        <v>M-u8</v>
      </c>
      <c r="D209" t="s">
        <v>55</v>
      </c>
      <c r="E209" t="s">
        <v>53</v>
      </c>
      <c r="F209">
        <v>2019</v>
      </c>
      <c r="G209" t="str">
        <f>_xlfn.XLOOKUP(Table1[[#This Row],[YOB]],Table2[YOB],Table2[Category])</f>
        <v>u8</v>
      </c>
      <c r="H209" t="s">
        <v>22</v>
      </c>
      <c r="I209" t="s">
        <v>23</v>
      </c>
      <c r="J209" t="s">
        <v>24</v>
      </c>
      <c r="K209" t="s">
        <v>25</v>
      </c>
      <c r="L209" t="s">
        <v>26</v>
      </c>
      <c r="M209" t="s">
        <v>27</v>
      </c>
      <c r="N209" t="s">
        <v>25</v>
      </c>
      <c r="O209" t="s">
        <v>28</v>
      </c>
      <c r="P209" t="s">
        <v>29</v>
      </c>
      <c r="Q209">
        <v>0</v>
      </c>
      <c r="R209" t="s">
        <v>30</v>
      </c>
      <c r="S209">
        <v>999</v>
      </c>
      <c r="T209">
        <v>999</v>
      </c>
      <c r="U209">
        <v>999</v>
      </c>
      <c r="V209">
        <v>999</v>
      </c>
      <c r="W209">
        <v>999</v>
      </c>
    </row>
    <row r="210" spans="1:23" x14ac:dyDescent="0.3">
      <c r="A210">
        <v>126972</v>
      </c>
      <c r="B210" t="str">
        <f>CONCATENATE(Table1[[#This Row],[Fname]]," ",Table1[[#This Row],[Lname]])</f>
        <v>Macpherson Boyne</v>
      </c>
      <c r="C210" t="str">
        <f>CONCATENATE(Table1[[#This Row],[Sex]],"-",Table1[[#This Row],[Column3]])</f>
        <v>M-u8</v>
      </c>
      <c r="D210" t="s">
        <v>56</v>
      </c>
      <c r="E210" t="s">
        <v>57</v>
      </c>
      <c r="F210">
        <v>2018</v>
      </c>
      <c r="G210" t="str">
        <f>_xlfn.XLOOKUP(Table1[[#This Row],[YOB]],Table2[YOB],Table2[Category])</f>
        <v>u8</v>
      </c>
      <c r="H210" t="s">
        <v>22</v>
      </c>
      <c r="I210" t="s">
        <v>23</v>
      </c>
      <c r="J210" t="s">
        <v>24</v>
      </c>
      <c r="K210" t="s">
        <v>25</v>
      </c>
      <c r="L210" t="s">
        <v>26</v>
      </c>
      <c r="M210" t="s">
        <v>27</v>
      </c>
      <c r="N210" t="s">
        <v>25</v>
      </c>
      <c r="O210" t="s">
        <v>28</v>
      </c>
      <c r="P210" t="s">
        <v>29</v>
      </c>
      <c r="Q210">
        <v>0</v>
      </c>
      <c r="R210" t="s">
        <v>30</v>
      </c>
      <c r="S210">
        <v>999</v>
      </c>
      <c r="T210">
        <v>999</v>
      </c>
      <c r="U210">
        <v>999</v>
      </c>
      <c r="V210">
        <v>999</v>
      </c>
      <c r="W210">
        <v>999</v>
      </c>
    </row>
    <row r="211" spans="1:23" x14ac:dyDescent="0.3">
      <c r="A211">
        <v>126984</v>
      </c>
      <c r="B211" t="str">
        <f>CONCATENATE(Table1[[#This Row],[Fname]]," ",Table1[[#This Row],[Lname]])</f>
        <v>Aubree Cote</v>
      </c>
      <c r="C211" t="str">
        <f>CONCATENATE(Table1[[#This Row],[Sex]],"-",Table1[[#This Row],[Column3]])</f>
        <v>M-u8</v>
      </c>
      <c r="D211" t="s">
        <v>66</v>
      </c>
      <c r="E211" t="s">
        <v>67</v>
      </c>
      <c r="F211">
        <v>2019</v>
      </c>
      <c r="G211" t="str">
        <f>_xlfn.XLOOKUP(Table1[[#This Row],[YOB]],Table2[YOB],Table2[Category])</f>
        <v>u8</v>
      </c>
      <c r="H211" t="s">
        <v>22</v>
      </c>
      <c r="I211" t="s">
        <v>23</v>
      </c>
      <c r="J211" t="s">
        <v>24</v>
      </c>
      <c r="K211" t="s">
        <v>25</v>
      </c>
      <c r="L211" t="s">
        <v>26</v>
      </c>
      <c r="M211" t="s">
        <v>27</v>
      </c>
      <c r="N211" t="s">
        <v>25</v>
      </c>
      <c r="O211" t="s">
        <v>28</v>
      </c>
      <c r="P211" t="s">
        <v>29</v>
      </c>
      <c r="Q211">
        <v>0</v>
      </c>
      <c r="R211" t="s">
        <v>30</v>
      </c>
      <c r="S211">
        <v>999</v>
      </c>
      <c r="T211">
        <v>999</v>
      </c>
      <c r="U211">
        <v>999</v>
      </c>
      <c r="V211">
        <v>999</v>
      </c>
      <c r="W211">
        <v>999</v>
      </c>
    </row>
    <row r="212" spans="1:23" x14ac:dyDescent="0.3">
      <c r="A212">
        <v>126986</v>
      </c>
      <c r="B212" t="str">
        <f>CONCATENATE(Table1[[#This Row],[Fname]]," ",Table1[[#This Row],[Lname]])</f>
        <v>Jasper Daley</v>
      </c>
      <c r="C212" t="str">
        <f>CONCATENATE(Table1[[#This Row],[Sex]],"-",Table1[[#This Row],[Column3]])</f>
        <v>M-u8</v>
      </c>
      <c r="D212" t="s">
        <v>71</v>
      </c>
      <c r="E212" t="s">
        <v>72</v>
      </c>
      <c r="F212">
        <v>2018</v>
      </c>
      <c r="G212" t="str">
        <f>_xlfn.XLOOKUP(Table1[[#This Row],[YOB]],Table2[YOB],Table2[Category])</f>
        <v>u8</v>
      </c>
      <c r="H212" t="s">
        <v>22</v>
      </c>
      <c r="I212" t="s">
        <v>23</v>
      </c>
      <c r="J212" t="s">
        <v>24</v>
      </c>
      <c r="K212" t="s">
        <v>25</v>
      </c>
      <c r="L212" t="s">
        <v>26</v>
      </c>
      <c r="M212" t="s">
        <v>27</v>
      </c>
      <c r="N212" t="s">
        <v>25</v>
      </c>
      <c r="O212" t="s">
        <v>28</v>
      </c>
      <c r="P212" t="s">
        <v>29</v>
      </c>
      <c r="Q212">
        <v>0</v>
      </c>
      <c r="R212" t="s">
        <v>30</v>
      </c>
      <c r="S212">
        <v>999</v>
      </c>
      <c r="T212">
        <v>999</v>
      </c>
      <c r="U212">
        <v>999</v>
      </c>
      <c r="V212">
        <v>999</v>
      </c>
      <c r="W212">
        <v>999</v>
      </c>
    </row>
    <row r="213" spans="1:23" x14ac:dyDescent="0.3">
      <c r="A213">
        <v>126957</v>
      </c>
      <c r="B213" t="str">
        <f>CONCATENATE(Table1[[#This Row],[Fname]]," ",Table1[[#This Row],[Lname]])</f>
        <v>Dominic Goguen</v>
      </c>
      <c r="C213" t="str">
        <f>CONCATENATE(Table1[[#This Row],[Sex]],"-",Table1[[#This Row],[Column3]])</f>
        <v>M-u8</v>
      </c>
      <c r="D213" t="s">
        <v>96</v>
      </c>
      <c r="E213" t="s">
        <v>97</v>
      </c>
      <c r="F213">
        <v>2018</v>
      </c>
      <c r="G213" t="str">
        <f>_xlfn.XLOOKUP(Table1[[#This Row],[YOB]],Table2[YOB],Table2[Category])</f>
        <v>u8</v>
      </c>
      <c r="H213" t="s">
        <v>22</v>
      </c>
      <c r="I213" t="s">
        <v>23</v>
      </c>
      <c r="J213" t="s">
        <v>24</v>
      </c>
      <c r="K213" t="s">
        <v>25</v>
      </c>
      <c r="L213" t="s">
        <v>26</v>
      </c>
      <c r="M213" t="s">
        <v>27</v>
      </c>
      <c r="N213" t="s">
        <v>25</v>
      </c>
      <c r="O213" t="s">
        <v>28</v>
      </c>
      <c r="P213" t="s">
        <v>29</v>
      </c>
      <c r="Q213">
        <v>0</v>
      </c>
      <c r="R213" t="s">
        <v>30</v>
      </c>
      <c r="S213">
        <v>999</v>
      </c>
      <c r="T213">
        <v>999</v>
      </c>
      <c r="U213">
        <v>999</v>
      </c>
      <c r="V213">
        <v>999</v>
      </c>
      <c r="W213">
        <v>999</v>
      </c>
    </row>
    <row r="214" spans="1:23" x14ac:dyDescent="0.3">
      <c r="A214">
        <v>123274</v>
      </c>
      <c r="B214" t="str">
        <f>CONCATENATE(Table1[[#This Row],[Fname]]," ",Table1[[#This Row],[Lname]])</f>
        <v>Gabriel Hare</v>
      </c>
      <c r="C214" t="str">
        <f>CONCATENATE(Table1[[#This Row],[Sex]],"-",Table1[[#This Row],[Column3]])</f>
        <v>M-u8</v>
      </c>
      <c r="D214" t="s">
        <v>101</v>
      </c>
      <c r="E214" t="s">
        <v>102</v>
      </c>
      <c r="F214">
        <v>2018</v>
      </c>
      <c r="G214" t="str">
        <f>_xlfn.XLOOKUP(Table1[[#This Row],[YOB]],Table2[YOB],Table2[Category])</f>
        <v>u8</v>
      </c>
      <c r="H214" t="s">
        <v>22</v>
      </c>
      <c r="I214" t="s">
        <v>23</v>
      </c>
      <c r="J214" t="s">
        <v>24</v>
      </c>
      <c r="K214" t="s">
        <v>25</v>
      </c>
      <c r="L214" t="s">
        <v>26</v>
      </c>
      <c r="M214" t="s">
        <v>27</v>
      </c>
      <c r="N214" t="s">
        <v>25</v>
      </c>
      <c r="O214" t="s">
        <v>28</v>
      </c>
      <c r="P214" t="s">
        <v>29</v>
      </c>
      <c r="Q214">
        <v>0</v>
      </c>
      <c r="R214" t="s">
        <v>30</v>
      </c>
      <c r="S214">
        <v>999</v>
      </c>
      <c r="T214">
        <v>999</v>
      </c>
      <c r="U214">
        <v>999</v>
      </c>
      <c r="V214">
        <v>999</v>
      </c>
      <c r="W214">
        <v>999</v>
      </c>
    </row>
    <row r="215" spans="1:23" x14ac:dyDescent="0.3">
      <c r="A215">
        <v>123573</v>
      </c>
      <c r="B215" t="str">
        <f>CONCATENATE(Table1[[#This Row],[Fname]]," ",Table1[[#This Row],[Lname]])</f>
        <v>Theodore Hennessy</v>
      </c>
      <c r="C215" t="str">
        <f>CONCATENATE(Table1[[#This Row],[Sex]],"-",Table1[[#This Row],[Column3]])</f>
        <v>M-u8</v>
      </c>
      <c r="D215" t="s">
        <v>103</v>
      </c>
      <c r="E215" t="s">
        <v>104</v>
      </c>
      <c r="F215">
        <v>2018</v>
      </c>
      <c r="G215" t="str">
        <f>_xlfn.XLOOKUP(Table1[[#This Row],[YOB]],Table2[YOB],Table2[Category])</f>
        <v>u8</v>
      </c>
      <c r="H215" t="s">
        <v>22</v>
      </c>
      <c r="I215" t="s">
        <v>23</v>
      </c>
      <c r="J215" t="s">
        <v>24</v>
      </c>
      <c r="K215" t="s">
        <v>25</v>
      </c>
      <c r="L215" t="s">
        <v>26</v>
      </c>
      <c r="M215" t="s">
        <v>27</v>
      </c>
      <c r="N215" t="s">
        <v>25</v>
      </c>
      <c r="O215" t="s">
        <v>28</v>
      </c>
      <c r="P215" t="s">
        <v>29</v>
      </c>
      <c r="Q215">
        <v>0</v>
      </c>
      <c r="R215" t="s">
        <v>30</v>
      </c>
      <c r="S215">
        <v>999</v>
      </c>
      <c r="T215">
        <v>999</v>
      </c>
      <c r="U215">
        <v>999</v>
      </c>
      <c r="V215">
        <v>999</v>
      </c>
      <c r="W215">
        <v>999</v>
      </c>
    </row>
    <row r="216" spans="1:23" x14ac:dyDescent="0.3">
      <c r="A216">
        <v>126965</v>
      </c>
      <c r="B216" t="str">
        <f>CONCATENATE(Table1[[#This Row],[Fname]]," ",Table1[[#This Row],[Lname]])</f>
        <v>Liam Kingsley</v>
      </c>
      <c r="C216" t="str">
        <f>CONCATENATE(Table1[[#This Row],[Sex]],"-",Table1[[#This Row],[Column3]])</f>
        <v>M-u8</v>
      </c>
      <c r="D216" t="s">
        <v>111</v>
      </c>
      <c r="E216" t="s">
        <v>73</v>
      </c>
      <c r="F216">
        <v>2018</v>
      </c>
      <c r="G216" t="str">
        <f>_xlfn.XLOOKUP(Table1[[#This Row],[YOB]],Table2[YOB],Table2[Category])</f>
        <v>u8</v>
      </c>
      <c r="H216" t="s">
        <v>22</v>
      </c>
      <c r="I216" t="s">
        <v>23</v>
      </c>
      <c r="J216" t="s">
        <v>24</v>
      </c>
      <c r="K216" t="s">
        <v>25</v>
      </c>
      <c r="L216" t="s">
        <v>26</v>
      </c>
      <c r="M216" t="s">
        <v>27</v>
      </c>
      <c r="N216" t="s">
        <v>25</v>
      </c>
      <c r="O216" t="s">
        <v>28</v>
      </c>
      <c r="P216" t="s">
        <v>29</v>
      </c>
      <c r="Q216">
        <v>0</v>
      </c>
      <c r="R216" t="s">
        <v>30</v>
      </c>
      <c r="S216">
        <v>999</v>
      </c>
      <c r="T216">
        <v>999</v>
      </c>
      <c r="U216">
        <v>999</v>
      </c>
      <c r="V216">
        <v>999</v>
      </c>
      <c r="W216">
        <v>999</v>
      </c>
    </row>
    <row r="217" spans="1:23" x14ac:dyDescent="0.3">
      <c r="A217">
        <v>126958</v>
      </c>
      <c r="B217" t="str">
        <f>CONCATENATE(Table1[[#This Row],[Fname]]," ",Table1[[#This Row],[Lname]])</f>
        <v>George Langille</v>
      </c>
      <c r="C217" t="str">
        <f>CONCATENATE(Table1[[#This Row],[Sex]],"-",Table1[[#This Row],[Column3]])</f>
        <v>M-u8</v>
      </c>
      <c r="D217" t="s">
        <v>115</v>
      </c>
      <c r="E217" t="s">
        <v>116</v>
      </c>
      <c r="F217">
        <v>2018</v>
      </c>
      <c r="G217" t="str">
        <f>_xlfn.XLOOKUP(Table1[[#This Row],[YOB]],Table2[YOB],Table2[Category])</f>
        <v>u8</v>
      </c>
      <c r="H217" t="s">
        <v>22</v>
      </c>
      <c r="I217" t="s">
        <v>23</v>
      </c>
      <c r="J217" t="s">
        <v>24</v>
      </c>
      <c r="K217" t="s">
        <v>25</v>
      </c>
      <c r="L217" t="s">
        <v>26</v>
      </c>
      <c r="M217" t="s">
        <v>27</v>
      </c>
      <c r="N217" t="s">
        <v>25</v>
      </c>
      <c r="O217" t="s">
        <v>28</v>
      </c>
      <c r="P217" t="s">
        <v>29</v>
      </c>
      <c r="Q217">
        <v>0</v>
      </c>
      <c r="R217" t="s">
        <v>30</v>
      </c>
      <c r="S217">
        <v>999</v>
      </c>
      <c r="T217">
        <v>999</v>
      </c>
      <c r="U217">
        <v>999</v>
      </c>
      <c r="V217">
        <v>999</v>
      </c>
      <c r="W217">
        <v>999</v>
      </c>
    </row>
    <row r="218" spans="1:23" x14ac:dyDescent="0.3">
      <c r="A218">
        <v>126974</v>
      </c>
      <c r="B218" t="str">
        <f>CONCATENATE(Table1[[#This Row],[Fname]]," ",Table1[[#This Row],[Lname]])</f>
        <v>Levi Matz</v>
      </c>
      <c r="C218" t="str">
        <f>CONCATENATE(Table1[[#This Row],[Sex]],"-",Table1[[#This Row],[Column3]])</f>
        <v>M-u8</v>
      </c>
      <c r="D218" t="s">
        <v>144</v>
      </c>
      <c r="E218" t="s">
        <v>143</v>
      </c>
      <c r="F218">
        <v>2019</v>
      </c>
      <c r="G218" t="str">
        <f>_xlfn.XLOOKUP(Table1[[#This Row],[YOB]],Table2[YOB],Table2[Category])</f>
        <v>u8</v>
      </c>
      <c r="H218" t="s">
        <v>22</v>
      </c>
      <c r="I218" t="s">
        <v>23</v>
      </c>
      <c r="J218" t="s">
        <v>24</v>
      </c>
      <c r="K218" t="s">
        <v>25</v>
      </c>
      <c r="L218" t="s">
        <v>26</v>
      </c>
      <c r="M218" t="s">
        <v>27</v>
      </c>
      <c r="N218" t="s">
        <v>25</v>
      </c>
      <c r="O218" t="s">
        <v>28</v>
      </c>
      <c r="P218" t="s">
        <v>29</v>
      </c>
      <c r="Q218">
        <v>0</v>
      </c>
      <c r="R218" t="s">
        <v>30</v>
      </c>
      <c r="S218">
        <v>999</v>
      </c>
      <c r="T218">
        <v>999</v>
      </c>
      <c r="U218">
        <v>999</v>
      </c>
      <c r="V218">
        <v>999</v>
      </c>
      <c r="W218">
        <v>999</v>
      </c>
    </row>
    <row r="219" spans="1:23" x14ac:dyDescent="0.3">
      <c r="A219">
        <v>126977</v>
      </c>
      <c r="B219" t="str">
        <f>CONCATENATE(Table1[[#This Row],[Fname]]," ",Table1[[#This Row],[Lname]])</f>
        <v>Ruddiger Miller-Hayes</v>
      </c>
      <c r="C219" t="str">
        <f>CONCATENATE(Table1[[#This Row],[Sex]],"-",Table1[[#This Row],[Column3]])</f>
        <v>M-u8</v>
      </c>
      <c r="D219" t="s">
        <v>149</v>
      </c>
      <c r="E219" t="s">
        <v>150</v>
      </c>
      <c r="F219">
        <v>2019</v>
      </c>
      <c r="G219" t="str">
        <f>_xlfn.XLOOKUP(Table1[[#This Row],[YOB]],Table2[YOB],Table2[Category])</f>
        <v>u8</v>
      </c>
      <c r="H219" t="s">
        <v>22</v>
      </c>
      <c r="I219" t="s">
        <v>23</v>
      </c>
      <c r="J219" t="s">
        <v>24</v>
      </c>
      <c r="K219" t="s">
        <v>25</v>
      </c>
      <c r="L219" t="s">
        <v>26</v>
      </c>
      <c r="M219" t="s">
        <v>27</v>
      </c>
      <c r="N219" t="s">
        <v>25</v>
      </c>
      <c r="O219" t="s">
        <v>28</v>
      </c>
      <c r="P219" t="s">
        <v>29</v>
      </c>
      <c r="Q219">
        <v>0</v>
      </c>
      <c r="R219" t="s">
        <v>30</v>
      </c>
      <c r="S219">
        <v>999</v>
      </c>
      <c r="T219">
        <v>999</v>
      </c>
      <c r="U219">
        <v>999</v>
      </c>
      <c r="V219">
        <v>999</v>
      </c>
      <c r="W219">
        <v>999</v>
      </c>
    </row>
    <row r="220" spans="1:23" x14ac:dyDescent="0.3">
      <c r="A220">
        <v>126979</v>
      </c>
      <c r="B220" t="str">
        <f>CONCATENATE(Table1[[#This Row],[Fname]]," ",Table1[[#This Row],[Lname]])</f>
        <v>Alistair Ouellette</v>
      </c>
      <c r="C220" t="str">
        <f>CONCATENATE(Table1[[#This Row],[Sex]],"-",Table1[[#This Row],[Column3]])</f>
        <v>M-u8</v>
      </c>
      <c r="D220" t="s">
        <v>158</v>
      </c>
      <c r="E220" t="s">
        <v>159</v>
      </c>
      <c r="F220">
        <v>2018</v>
      </c>
      <c r="G220" t="str">
        <f>_xlfn.XLOOKUP(Table1[[#This Row],[YOB]],Table2[YOB],Table2[Category])</f>
        <v>u8</v>
      </c>
      <c r="H220" t="s">
        <v>22</v>
      </c>
      <c r="I220" t="s">
        <v>23</v>
      </c>
      <c r="J220" t="s">
        <v>24</v>
      </c>
      <c r="K220" t="s">
        <v>25</v>
      </c>
      <c r="L220" t="s">
        <v>26</v>
      </c>
      <c r="M220" t="s">
        <v>27</v>
      </c>
      <c r="N220" t="s">
        <v>25</v>
      </c>
      <c r="O220" t="s">
        <v>28</v>
      </c>
      <c r="P220" t="s">
        <v>29</v>
      </c>
      <c r="Q220">
        <v>0</v>
      </c>
      <c r="R220" t="s">
        <v>30</v>
      </c>
      <c r="S220">
        <v>999</v>
      </c>
      <c r="T220">
        <v>999</v>
      </c>
      <c r="U220">
        <v>999</v>
      </c>
      <c r="V220">
        <v>999</v>
      </c>
      <c r="W220">
        <v>999</v>
      </c>
    </row>
    <row r="221" spans="1:23" x14ac:dyDescent="0.3">
      <c r="A221">
        <v>126966</v>
      </c>
      <c r="B221" t="str">
        <f>CONCATENATE(Table1[[#This Row],[Fname]]," ",Table1[[#This Row],[Lname]])</f>
        <v>Andrew Reid</v>
      </c>
      <c r="C221" t="str">
        <f>CONCATENATE(Table1[[#This Row],[Sex]],"-",Table1[[#This Row],[Column3]])</f>
        <v>M-u8</v>
      </c>
      <c r="D221" t="s">
        <v>169</v>
      </c>
      <c r="E221" t="s">
        <v>170</v>
      </c>
      <c r="F221">
        <v>2019</v>
      </c>
      <c r="G221" t="str">
        <f>_xlfn.XLOOKUP(Table1[[#This Row],[YOB]],Table2[YOB],Table2[Category])</f>
        <v>u8</v>
      </c>
      <c r="H221" t="s">
        <v>22</v>
      </c>
      <c r="I221" t="s">
        <v>23</v>
      </c>
      <c r="J221" t="s">
        <v>24</v>
      </c>
      <c r="K221" t="s">
        <v>25</v>
      </c>
      <c r="L221" t="s">
        <v>26</v>
      </c>
      <c r="M221" t="s">
        <v>27</v>
      </c>
      <c r="N221" t="s">
        <v>25</v>
      </c>
      <c r="O221" t="s">
        <v>28</v>
      </c>
      <c r="P221" t="s">
        <v>29</v>
      </c>
      <c r="Q221">
        <v>0</v>
      </c>
      <c r="R221" t="s">
        <v>30</v>
      </c>
      <c r="S221">
        <v>999</v>
      </c>
      <c r="T221">
        <v>999</v>
      </c>
      <c r="U221">
        <v>999</v>
      </c>
      <c r="V221">
        <v>999</v>
      </c>
      <c r="W221">
        <v>999</v>
      </c>
    </row>
    <row r="222" spans="1:23" x14ac:dyDescent="0.3">
      <c r="A222">
        <v>123568</v>
      </c>
      <c r="B222" t="str">
        <f>CONCATENATE(Table1[[#This Row],[Fname]]," ",Table1[[#This Row],[Lname]])</f>
        <v>Hugh Richardson</v>
      </c>
      <c r="C222" t="str">
        <f>CONCATENATE(Table1[[#This Row],[Sex]],"-",Table1[[#This Row],[Column3]])</f>
        <v>M-u8</v>
      </c>
      <c r="D222" t="s">
        <v>174</v>
      </c>
      <c r="E222" t="s">
        <v>173</v>
      </c>
      <c r="F222">
        <v>2018</v>
      </c>
      <c r="G222" t="str">
        <f>_xlfn.XLOOKUP(Table1[[#This Row],[YOB]],Table2[YOB],Table2[Category])</f>
        <v>u8</v>
      </c>
      <c r="H222" t="s">
        <v>22</v>
      </c>
      <c r="I222" t="s">
        <v>23</v>
      </c>
      <c r="J222" t="s">
        <v>24</v>
      </c>
      <c r="K222" t="s">
        <v>25</v>
      </c>
      <c r="L222" t="s">
        <v>26</v>
      </c>
      <c r="M222" t="s">
        <v>27</v>
      </c>
      <c r="N222" t="s">
        <v>25</v>
      </c>
      <c r="O222" t="s">
        <v>28</v>
      </c>
      <c r="P222" t="s">
        <v>29</v>
      </c>
      <c r="Q222">
        <v>0</v>
      </c>
      <c r="R222" t="s">
        <v>30</v>
      </c>
      <c r="S222">
        <v>999</v>
      </c>
      <c r="T222">
        <v>999</v>
      </c>
      <c r="U222">
        <v>999</v>
      </c>
      <c r="V222">
        <v>999</v>
      </c>
      <c r="W222">
        <v>999</v>
      </c>
    </row>
    <row r="223" spans="1:23" x14ac:dyDescent="0.3">
      <c r="A223">
        <v>123253</v>
      </c>
      <c r="B223" t="str">
        <f>CONCATENATE(Table1[[#This Row],[Fname]]," ",Table1[[#This Row],[Lname]])</f>
        <v>Declan Sheehan</v>
      </c>
      <c r="C223" t="str">
        <f>CONCATENATE(Table1[[#This Row],[Sex]],"-",Table1[[#This Row],[Column3]])</f>
        <v>M-u8</v>
      </c>
      <c r="D223" t="s">
        <v>190</v>
      </c>
      <c r="E223" t="s">
        <v>191</v>
      </c>
      <c r="F223">
        <v>2018</v>
      </c>
      <c r="G223" t="str">
        <f>_xlfn.XLOOKUP(Table1[[#This Row],[YOB]],Table2[YOB],Table2[Category])</f>
        <v>u8</v>
      </c>
      <c r="H223" t="s">
        <v>22</v>
      </c>
      <c r="I223" t="s">
        <v>23</v>
      </c>
      <c r="J223" t="s">
        <v>24</v>
      </c>
      <c r="K223" t="s">
        <v>25</v>
      </c>
      <c r="L223" t="s">
        <v>26</v>
      </c>
      <c r="M223" t="s">
        <v>27</v>
      </c>
      <c r="N223" t="s">
        <v>25</v>
      </c>
      <c r="O223" t="s">
        <v>28</v>
      </c>
      <c r="P223" t="s">
        <v>29</v>
      </c>
      <c r="Q223">
        <v>0</v>
      </c>
      <c r="R223" t="s">
        <v>30</v>
      </c>
      <c r="S223">
        <v>999</v>
      </c>
      <c r="T223">
        <v>999</v>
      </c>
      <c r="U223">
        <v>999</v>
      </c>
      <c r="V223">
        <v>999</v>
      </c>
      <c r="W223">
        <v>999</v>
      </c>
    </row>
    <row r="224" spans="1:23" x14ac:dyDescent="0.3">
      <c r="A224">
        <v>126995</v>
      </c>
      <c r="B224" t="str">
        <f>CONCATENATE(Table1[[#This Row],[Fname]]," ",Table1[[#This Row],[Lname]])</f>
        <v>Malcolm Smith</v>
      </c>
      <c r="C224" t="str">
        <f>CONCATENATE(Table1[[#This Row],[Sex]],"-",Table1[[#This Row],[Column3]])</f>
        <v>M-u8</v>
      </c>
      <c r="D224" t="s">
        <v>197</v>
      </c>
      <c r="E224" t="s">
        <v>196</v>
      </c>
      <c r="F224">
        <v>2019</v>
      </c>
      <c r="G224" t="str">
        <f>_xlfn.XLOOKUP(Table1[[#This Row],[YOB]],Table2[YOB],Table2[Category])</f>
        <v>u8</v>
      </c>
      <c r="H224" t="s">
        <v>22</v>
      </c>
      <c r="I224" t="s">
        <v>23</v>
      </c>
      <c r="J224" t="s">
        <v>24</v>
      </c>
      <c r="K224" t="s">
        <v>25</v>
      </c>
      <c r="L224" t="s">
        <v>26</v>
      </c>
      <c r="M224" t="s">
        <v>27</v>
      </c>
      <c r="N224" t="s">
        <v>25</v>
      </c>
      <c r="O224" t="s">
        <v>28</v>
      </c>
      <c r="P224" t="s">
        <v>29</v>
      </c>
      <c r="Q224">
        <v>0</v>
      </c>
      <c r="R224" t="s">
        <v>30</v>
      </c>
      <c r="S224">
        <v>999</v>
      </c>
      <c r="T224">
        <v>999</v>
      </c>
      <c r="U224">
        <v>999</v>
      </c>
      <c r="V224">
        <v>999</v>
      </c>
      <c r="W224">
        <v>999</v>
      </c>
    </row>
    <row r="225" spans="1:23" x14ac:dyDescent="0.3">
      <c r="A225">
        <v>126959</v>
      </c>
      <c r="B225" t="str">
        <f>CONCATENATE(Table1[[#This Row],[Fname]]," ",Table1[[#This Row],[Lname]])</f>
        <v>Montgomery White</v>
      </c>
      <c r="C225" t="str">
        <f>CONCATENATE(Table1[[#This Row],[Sex]],"-",Table1[[#This Row],[Column3]])</f>
        <v>M-u8</v>
      </c>
      <c r="D225" t="s">
        <v>215</v>
      </c>
      <c r="E225" t="s">
        <v>214</v>
      </c>
      <c r="F225">
        <v>2019</v>
      </c>
      <c r="G225" t="str">
        <f>_xlfn.XLOOKUP(Table1[[#This Row],[YOB]],Table2[YOB],Table2[Category])</f>
        <v>u8</v>
      </c>
      <c r="H225" t="s">
        <v>22</v>
      </c>
      <c r="I225" t="s">
        <v>23</v>
      </c>
      <c r="J225" t="s">
        <v>24</v>
      </c>
      <c r="K225" t="s">
        <v>25</v>
      </c>
      <c r="L225" t="s">
        <v>26</v>
      </c>
      <c r="M225" t="s">
        <v>27</v>
      </c>
      <c r="N225" t="s">
        <v>25</v>
      </c>
      <c r="O225" t="s">
        <v>28</v>
      </c>
      <c r="P225" t="s">
        <v>29</v>
      </c>
      <c r="Q225">
        <v>0</v>
      </c>
      <c r="R225" t="s">
        <v>30</v>
      </c>
      <c r="S225">
        <v>999</v>
      </c>
      <c r="T225">
        <v>999</v>
      </c>
      <c r="U225">
        <v>999</v>
      </c>
      <c r="V225">
        <v>999</v>
      </c>
      <c r="W225">
        <v>999</v>
      </c>
    </row>
    <row r="226" spans="1:23" x14ac:dyDescent="0.3">
      <c r="A226">
        <v>124557</v>
      </c>
      <c r="B226" t="str">
        <f>CONCATENATE(Table1[[#This Row],[Fname]]," ",Table1[[#This Row],[Lname]])</f>
        <v>Charli Clavette</v>
      </c>
      <c r="C226" t="str">
        <f>CONCATENATE(Table1[[#This Row],[Sex]],"-",Table1[[#This Row],[Column3]])</f>
        <v>M-u8</v>
      </c>
      <c r="D226" t="s">
        <v>925</v>
      </c>
      <c r="E226" t="s">
        <v>926</v>
      </c>
      <c r="F226">
        <v>2018</v>
      </c>
      <c r="G226" t="str">
        <f>_xlfn.XLOOKUP(Table1[[#This Row],[YOB]],Table2[YOB],Table2[Category])</f>
        <v>u8</v>
      </c>
      <c r="H226" t="s">
        <v>22</v>
      </c>
      <c r="I226" t="s">
        <v>222</v>
      </c>
      <c r="J226" t="s">
        <v>223</v>
      </c>
      <c r="K226" t="s">
        <v>25</v>
      </c>
      <c r="L226" t="s">
        <v>26</v>
      </c>
      <c r="M226" t="s">
        <v>27</v>
      </c>
      <c r="N226" t="s">
        <v>25</v>
      </c>
      <c r="O226" t="s">
        <v>28</v>
      </c>
      <c r="P226" t="s">
        <v>29</v>
      </c>
      <c r="Q226">
        <v>0</v>
      </c>
      <c r="R226" t="s">
        <v>30</v>
      </c>
      <c r="S226">
        <v>999</v>
      </c>
      <c r="T226">
        <v>999</v>
      </c>
      <c r="U226">
        <v>999</v>
      </c>
      <c r="V226">
        <v>999</v>
      </c>
      <c r="W226">
        <v>999</v>
      </c>
    </row>
    <row r="227" spans="1:23" x14ac:dyDescent="0.3">
      <c r="A227">
        <v>124553</v>
      </c>
      <c r="B227" t="str">
        <f>CONCATENATE(Table1[[#This Row],[Fname]]," ",Table1[[#This Row],[Lname]])</f>
        <v>Victor Corkum</v>
      </c>
      <c r="C227" t="str">
        <f>CONCATENATE(Table1[[#This Row],[Sex]],"-",Table1[[#This Row],[Column3]])</f>
        <v>M-u8</v>
      </c>
      <c r="D227" t="s">
        <v>227</v>
      </c>
      <c r="E227" t="s">
        <v>228</v>
      </c>
      <c r="F227">
        <v>2018</v>
      </c>
      <c r="G227" t="str">
        <f>_xlfn.XLOOKUP(Table1[[#This Row],[YOB]],Table2[YOB],Table2[Category])</f>
        <v>u8</v>
      </c>
      <c r="H227" t="s">
        <v>22</v>
      </c>
      <c r="I227" t="s">
        <v>222</v>
      </c>
      <c r="J227" t="s">
        <v>223</v>
      </c>
      <c r="K227" t="s">
        <v>25</v>
      </c>
      <c r="L227" t="s">
        <v>26</v>
      </c>
      <c r="M227" t="s">
        <v>27</v>
      </c>
      <c r="N227" t="s">
        <v>25</v>
      </c>
      <c r="O227" t="s">
        <v>28</v>
      </c>
      <c r="P227" t="s">
        <v>29</v>
      </c>
      <c r="Q227">
        <v>0</v>
      </c>
      <c r="R227" t="s">
        <v>30</v>
      </c>
      <c r="S227">
        <v>999</v>
      </c>
      <c r="T227">
        <v>999</v>
      </c>
      <c r="U227">
        <v>999</v>
      </c>
      <c r="V227">
        <v>999</v>
      </c>
      <c r="W227">
        <v>999</v>
      </c>
    </row>
    <row r="228" spans="1:23" x14ac:dyDescent="0.3">
      <c r="A228">
        <v>126690</v>
      </c>
      <c r="B228" t="str">
        <f>CONCATENATE(Table1[[#This Row],[Fname]]," ",Table1[[#This Row],[Lname]])</f>
        <v>Maxime LeBlanc</v>
      </c>
      <c r="C228" t="str">
        <f>CONCATENATE(Table1[[#This Row],[Sex]],"-",Table1[[#This Row],[Column3]])</f>
        <v>M-u8</v>
      </c>
      <c r="D228" t="s">
        <v>233</v>
      </c>
      <c r="E228" t="s">
        <v>241</v>
      </c>
      <c r="F228">
        <v>2018</v>
      </c>
      <c r="G228" t="str">
        <f>_xlfn.XLOOKUP(Table1[[#This Row],[YOB]],Table2[YOB],Table2[Category])</f>
        <v>u8</v>
      </c>
      <c r="H228" t="s">
        <v>22</v>
      </c>
      <c r="I228" t="s">
        <v>222</v>
      </c>
      <c r="J228" t="s">
        <v>223</v>
      </c>
      <c r="K228" t="s">
        <v>25</v>
      </c>
      <c r="L228" t="s">
        <v>26</v>
      </c>
      <c r="M228" t="s">
        <v>27</v>
      </c>
      <c r="N228" t="s">
        <v>25</v>
      </c>
      <c r="O228" t="s">
        <v>28</v>
      </c>
      <c r="P228" t="s">
        <v>29</v>
      </c>
      <c r="Q228">
        <v>0</v>
      </c>
      <c r="R228" t="s">
        <v>30</v>
      </c>
      <c r="S228">
        <v>999</v>
      </c>
      <c r="T228">
        <v>999</v>
      </c>
      <c r="U228">
        <v>999</v>
      </c>
      <c r="V228">
        <v>999</v>
      </c>
      <c r="W228">
        <v>999</v>
      </c>
    </row>
    <row r="229" spans="1:23" x14ac:dyDescent="0.3">
      <c r="A229">
        <v>126693</v>
      </c>
      <c r="B229" t="str">
        <f>CONCATENATE(Table1[[#This Row],[Fname]]," ",Table1[[#This Row],[Lname]])</f>
        <v>Xavier Roy</v>
      </c>
      <c r="C229" t="str">
        <f>CONCATENATE(Table1[[#This Row],[Sex]],"-",Table1[[#This Row],[Column3]])</f>
        <v>M-u8</v>
      </c>
      <c r="D229" t="s">
        <v>249</v>
      </c>
      <c r="E229" t="s">
        <v>181</v>
      </c>
      <c r="F229">
        <v>2019</v>
      </c>
      <c r="G229" t="str">
        <f>_xlfn.XLOOKUP(Table1[[#This Row],[YOB]],Table2[YOB],Table2[Category])</f>
        <v>u8</v>
      </c>
      <c r="H229" t="s">
        <v>22</v>
      </c>
      <c r="I229" t="s">
        <v>222</v>
      </c>
      <c r="J229" t="s">
        <v>223</v>
      </c>
      <c r="K229" t="s">
        <v>25</v>
      </c>
      <c r="L229" t="s">
        <v>26</v>
      </c>
      <c r="M229" t="s">
        <v>27</v>
      </c>
      <c r="N229" t="s">
        <v>25</v>
      </c>
      <c r="O229" t="s">
        <v>28</v>
      </c>
      <c r="P229" t="s">
        <v>29</v>
      </c>
      <c r="Q229">
        <v>0</v>
      </c>
      <c r="R229" t="s">
        <v>30</v>
      </c>
      <c r="S229">
        <v>999</v>
      </c>
      <c r="T229">
        <v>999</v>
      </c>
      <c r="U229">
        <v>999</v>
      </c>
      <c r="V229">
        <v>999</v>
      </c>
      <c r="W229">
        <v>999</v>
      </c>
    </row>
    <row r="230" spans="1:23" x14ac:dyDescent="0.3">
      <c r="A230">
        <v>127394</v>
      </c>
      <c r="B230" t="str">
        <f>CONCATENATE(Table1[[#This Row],[Fname]]," ",Table1[[#This Row],[Lname]])</f>
        <v>Aaloak Jaswal</v>
      </c>
      <c r="C230" t="e">
        <f>CONCATENATE(Table1[[#This Row],[Sex]],"-",Table1[[#This Row],[Column3]])</f>
        <v>#N/A</v>
      </c>
      <c r="D230" t="s">
        <v>910</v>
      </c>
      <c r="E230" t="s">
        <v>298</v>
      </c>
      <c r="F230">
        <v>1970</v>
      </c>
      <c r="G230" t="e">
        <f>_xlfn.XLOOKUP(Table1[[#This Row],[YOB]],Table2[YOB],Table2[Category])</f>
        <v>#N/A</v>
      </c>
      <c r="H230" t="s">
        <v>22</v>
      </c>
      <c r="I230" t="s">
        <v>256</v>
      </c>
      <c r="J230" t="s">
        <v>257</v>
      </c>
      <c r="K230" t="s">
        <v>25</v>
      </c>
      <c r="L230" t="s">
        <v>26</v>
      </c>
      <c r="M230" t="s">
        <v>27</v>
      </c>
      <c r="N230" t="s">
        <v>25</v>
      </c>
      <c r="O230" t="s">
        <v>37</v>
      </c>
      <c r="P230" t="s">
        <v>38</v>
      </c>
      <c r="Q230">
        <v>1</v>
      </c>
      <c r="R230" t="s">
        <v>905</v>
      </c>
      <c r="S230">
        <v>999</v>
      </c>
      <c r="T230">
        <v>999</v>
      </c>
      <c r="U230">
        <v>999</v>
      </c>
      <c r="V230">
        <v>999</v>
      </c>
      <c r="W230">
        <v>999</v>
      </c>
    </row>
    <row r="231" spans="1:23" x14ac:dyDescent="0.3">
      <c r="A231">
        <v>127431</v>
      </c>
      <c r="B231" t="str">
        <f>CONCATENATE(Table1[[#This Row],[Fname]]," ",Table1[[#This Row],[Lname]])</f>
        <v>Derek Moser</v>
      </c>
      <c r="C231" t="e">
        <f>CONCATENATE(Table1[[#This Row],[Sex]],"-",Table1[[#This Row],[Column3]])</f>
        <v>#N/A</v>
      </c>
      <c r="D231" t="s">
        <v>913</v>
      </c>
      <c r="E231" t="s">
        <v>315</v>
      </c>
      <c r="F231">
        <v>1980</v>
      </c>
      <c r="G231" t="e">
        <f>_xlfn.XLOOKUP(Table1[[#This Row],[YOB]],Table2[YOB],Table2[Category])</f>
        <v>#N/A</v>
      </c>
      <c r="H231" t="s">
        <v>22</v>
      </c>
      <c r="I231" t="s">
        <v>256</v>
      </c>
      <c r="J231" t="s">
        <v>257</v>
      </c>
      <c r="K231" t="s">
        <v>25</v>
      </c>
      <c r="L231" t="s">
        <v>26</v>
      </c>
      <c r="M231" t="s">
        <v>27</v>
      </c>
      <c r="N231" t="s">
        <v>25</v>
      </c>
      <c r="O231" t="s">
        <v>32</v>
      </c>
      <c r="P231" t="s">
        <v>33</v>
      </c>
      <c r="Q231">
        <v>0</v>
      </c>
      <c r="R231" t="s">
        <v>30</v>
      </c>
      <c r="S231">
        <v>999</v>
      </c>
      <c r="T231">
        <v>999</v>
      </c>
      <c r="U231">
        <v>999</v>
      </c>
      <c r="V231">
        <v>999</v>
      </c>
      <c r="W231">
        <v>999</v>
      </c>
    </row>
  </sheetData>
  <phoneticPr fontId="1" type="noConversion"/>
  <pageMargins left="0.7" right="0.7" top="0.75" bottom="0.75" header="0.3" footer="0.3"/>
  <tableParts count="2">
    <tablePart r:id="rId1"/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9AF56F-F843-490C-9B91-53D054B8440D}">
  <dimension ref="A1:BG8"/>
  <sheetViews>
    <sheetView topLeftCell="AS1" workbookViewId="0">
      <selection activeCell="A9" sqref="A9:A15"/>
    </sheetView>
  </sheetViews>
  <sheetFormatPr defaultRowHeight="14.4" x14ac:dyDescent="0.3"/>
  <cols>
    <col min="1" max="1" width="13.44140625" customWidth="1"/>
    <col min="3" max="3" width="10.21875" customWidth="1"/>
    <col min="4" max="7" width="10.44140625" customWidth="1"/>
    <col min="8" max="8" width="13.33203125" bestFit="1" customWidth="1"/>
    <col min="9" max="9" width="10.33203125" customWidth="1"/>
    <col min="10" max="10" width="17.21875" customWidth="1"/>
    <col min="12" max="12" width="13.21875" customWidth="1"/>
    <col min="14" max="14" width="10" customWidth="1"/>
    <col min="15" max="16" width="10.5546875" customWidth="1"/>
    <col min="17" max="17" width="17.88671875" customWidth="1"/>
    <col min="19" max="19" width="13.21875" customWidth="1"/>
    <col min="21" max="21" width="10" customWidth="1"/>
    <col min="22" max="25" width="10.5546875" customWidth="1"/>
    <col min="26" max="27" width="10.33203125" customWidth="1"/>
    <col min="28" max="28" width="11.21875" customWidth="1"/>
    <col min="30" max="30" width="13.21875" customWidth="1"/>
    <col min="32" max="32" width="10" customWidth="1"/>
    <col min="33" max="33" width="11.33203125" bestFit="1" customWidth="1"/>
    <col min="36" max="36" width="11.33203125" customWidth="1"/>
    <col min="37" max="37" width="15.109375" customWidth="1"/>
    <col min="39" max="39" width="13.21875" customWidth="1"/>
    <col min="41" max="41" width="10" customWidth="1"/>
    <col min="44" max="44" width="15" bestFit="1" customWidth="1"/>
    <col min="45" max="45" width="11.33203125" customWidth="1"/>
    <col min="46" max="46" width="15.109375" customWidth="1"/>
    <col min="48" max="48" width="13.21875" customWidth="1"/>
    <col min="49" max="49" width="15.6640625" bestFit="1" customWidth="1"/>
    <col min="50" max="50" width="10" customWidth="1"/>
    <col min="51" max="51" width="9.109375" customWidth="1"/>
    <col min="52" max="52" width="10" customWidth="1"/>
    <col min="53" max="53" width="9.21875" customWidth="1"/>
    <col min="54" max="54" width="12.6640625" customWidth="1"/>
    <col min="55" max="55" width="16" customWidth="1"/>
    <col min="56" max="56" width="13.109375" customWidth="1"/>
    <col min="57" max="57" width="16.44140625" customWidth="1"/>
    <col min="58" max="58" width="10.109375" customWidth="1"/>
    <col min="59" max="59" width="12.109375" customWidth="1"/>
  </cols>
  <sheetData>
    <row r="1" spans="1:59" ht="21" x14ac:dyDescent="0.4">
      <c r="A1" s="4"/>
      <c r="B1" s="4"/>
      <c r="C1" s="4"/>
      <c r="D1" s="7" t="s">
        <v>450</v>
      </c>
      <c r="E1" s="7"/>
      <c r="F1" s="7"/>
      <c r="G1" s="7"/>
      <c r="H1" s="7"/>
      <c r="I1" s="7"/>
      <c r="J1" s="7"/>
      <c r="K1" s="4"/>
      <c r="L1" s="4"/>
      <c r="M1" s="4"/>
      <c r="N1" s="4"/>
      <c r="O1" s="7" t="s">
        <v>452</v>
      </c>
      <c r="P1" s="7"/>
      <c r="Q1" s="7"/>
      <c r="R1" s="4"/>
      <c r="S1" s="4"/>
      <c r="T1" s="4"/>
      <c r="U1" s="4"/>
      <c r="V1" s="7" t="s">
        <v>451</v>
      </c>
      <c r="W1" s="7"/>
      <c r="X1" s="7"/>
      <c r="Y1" s="7"/>
      <c r="Z1" s="7"/>
      <c r="AA1" s="7"/>
      <c r="AB1" s="7"/>
      <c r="AC1" s="4"/>
      <c r="AD1" s="4"/>
      <c r="AE1" s="4"/>
      <c r="AF1" s="4"/>
      <c r="AG1" s="7" t="s">
        <v>453</v>
      </c>
      <c r="AH1" s="7"/>
      <c r="AI1" s="7"/>
      <c r="AJ1" s="7"/>
      <c r="AK1" s="7"/>
      <c r="AL1" s="4"/>
      <c r="AM1" s="4"/>
      <c r="AN1" s="4"/>
      <c r="AO1" s="4"/>
      <c r="AP1" s="7" t="s">
        <v>458</v>
      </c>
      <c r="AQ1" s="7"/>
      <c r="AR1" s="7"/>
      <c r="AS1" s="7"/>
      <c r="AT1" s="7"/>
      <c r="AU1" s="4"/>
      <c r="AV1" s="4"/>
      <c r="AW1" s="4"/>
      <c r="AX1" s="4"/>
      <c r="AY1" s="7" t="s">
        <v>603</v>
      </c>
      <c r="AZ1" s="7"/>
      <c r="BA1" s="7"/>
      <c r="BB1" s="7"/>
      <c r="BC1" s="7"/>
      <c r="BD1" s="7"/>
      <c r="BE1" s="7"/>
      <c r="BF1" s="7"/>
      <c r="BG1" s="7"/>
    </row>
    <row r="2" spans="1:59" x14ac:dyDescent="0.3">
      <c r="A2" t="s">
        <v>367</v>
      </c>
      <c r="B2" t="s">
        <v>368</v>
      </c>
      <c r="C2" t="s">
        <v>354</v>
      </c>
      <c r="D2" t="s">
        <v>604</v>
      </c>
      <c r="E2" t="s">
        <v>605</v>
      </c>
      <c r="F2" t="s">
        <v>606</v>
      </c>
      <c r="G2" t="s">
        <v>607</v>
      </c>
      <c r="H2" t="s">
        <v>608</v>
      </c>
      <c r="I2" t="s">
        <v>609</v>
      </c>
      <c r="J2" t="s">
        <v>456</v>
      </c>
      <c r="L2" t="s">
        <v>367</v>
      </c>
      <c r="M2" t="s">
        <v>368</v>
      </c>
      <c r="N2" t="s">
        <v>354</v>
      </c>
      <c r="O2" t="s">
        <v>610</v>
      </c>
      <c r="P2" t="s">
        <v>611</v>
      </c>
      <c r="Q2" t="s">
        <v>457</v>
      </c>
      <c r="S2" t="s">
        <v>367</v>
      </c>
      <c r="T2" t="s">
        <v>368</v>
      </c>
      <c r="U2" t="s">
        <v>354</v>
      </c>
      <c r="V2" t="s">
        <v>612</v>
      </c>
      <c r="W2" t="s">
        <v>613</v>
      </c>
      <c r="X2" t="s">
        <v>614</v>
      </c>
      <c r="Y2" t="s">
        <v>615</v>
      </c>
      <c r="Z2" t="s">
        <v>616</v>
      </c>
      <c r="AA2" t="s">
        <v>617</v>
      </c>
      <c r="AB2" t="s">
        <v>369</v>
      </c>
      <c r="AD2" t="s">
        <v>367</v>
      </c>
      <c r="AE2" t="s">
        <v>368</v>
      </c>
      <c r="AF2" t="s">
        <v>354</v>
      </c>
      <c r="AG2" t="s">
        <v>618</v>
      </c>
      <c r="AH2" t="s">
        <v>619</v>
      </c>
      <c r="AI2" t="s">
        <v>620</v>
      </c>
      <c r="AJ2" t="s">
        <v>454</v>
      </c>
      <c r="AK2" t="s">
        <v>455</v>
      </c>
      <c r="AM2" t="s">
        <v>367</v>
      </c>
      <c r="AN2" t="s">
        <v>368</v>
      </c>
      <c r="AO2" t="s">
        <v>354</v>
      </c>
      <c r="AP2" t="s">
        <v>621</v>
      </c>
      <c r="AQ2" t="s">
        <v>622</v>
      </c>
      <c r="AR2" t="s">
        <v>623</v>
      </c>
      <c r="AS2" t="s">
        <v>454</v>
      </c>
      <c r="AT2" t="s">
        <v>455</v>
      </c>
      <c r="AV2" t="s">
        <v>367</v>
      </c>
      <c r="AW2" t="s">
        <v>368</v>
      </c>
      <c r="AX2" t="s">
        <v>354</v>
      </c>
      <c r="AY2" t="s">
        <v>587</v>
      </c>
      <c r="AZ2" t="s">
        <v>581</v>
      </c>
      <c r="BA2" t="s">
        <v>582</v>
      </c>
      <c r="BB2" t="s">
        <v>583</v>
      </c>
      <c r="BC2" t="s">
        <v>584</v>
      </c>
      <c r="BD2" t="s">
        <v>585</v>
      </c>
      <c r="BE2" t="s">
        <v>586</v>
      </c>
      <c r="BF2" t="s">
        <v>588</v>
      </c>
      <c r="BG2" t="s">
        <v>624</v>
      </c>
    </row>
    <row r="3" spans="1:59" x14ac:dyDescent="0.3">
      <c r="A3">
        <v>126692</v>
      </c>
      <c r="B3" t="s">
        <v>809</v>
      </c>
      <c r="C3" t="s">
        <v>810</v>
      </c>
      <c r="D3">
        <f>_xlfn.XLOOKUP(Table121158164170195[[#This Row],[ACA Number]],Table122110[NAT Number],Table122110[run 1 points])</f>
        <v>999.99</v>
      </c>
      <c r="E3">
        <f>_xlfn.XLOOKUP(Table121158164170195[[#This Row],[ACA Number]],Table122110[NAT Number],Table122110[run 2 points])</f>
        <v>999.99</v>
      </c>
      <c r="F3">
        <f>_xlfn.XLOOKUP(Table121158164170195[[#This Row],[ACA Number]],Table12211019[NAT Number],Table12211019[run 2 points])</f>
        <v>999.99</v>
      </c>
      <c r="G3">
        <f>_xlfn.XLOOKUP(Table121158164170195[[#This Row],[ACA Number]],Table12211019[NAT Number],Table12211019[run 2 points])</f>
        <v>999.99</v>
      </c>
      <c r="H3">
        <f>_xlfn.XLOOKUP(Table121158164170195[[#This Row],[ACA Number]],Table12211019344052647688[NAT Number],Table12211019344052647688[run 1 points])</f>
        <v>92.14</v>
      </c>
      <c r="I3">
        <f>_xlfn.XLOOKUP(Table121158164170195[[#This Row],[ACA Number]],Table12211019344052647688[NAT Number],Table12211019344052647688[run 2 points])</f>
        <v>143.04</v>
      </c>
      <c r="J3" cm="1">
        <f t="array" ref="J3">_xlfn.LET(_xlpm.r,Table121158164170195[[#This Row],[PM SL1 R1]:[MF SL1 R2]],_xlpm.m,_xlfn.AGGREGATE(15,6,_xlpm.r/(_xlpm.r&lt;&gt;999.99),1),IFERROR(_xlpm.m,999.99))</f>
        <v>92.14</v>
      </c>
      <c r="L3">
        <v>126692</v>
      </c>
      <c r="M3" t="s">
        <v>809</v>
      </c>
      <c r="N3" t="s">
        <v>810</v>
      </c>
      <c r="O3">
        <f>_xlfn.XLOOKUP(Table122159165171196[[#This Row],[ACA Number]],Table127163191[NAT Number],Table127163191[run 1 points])</f>
        <v>999.99</v>
      </c>
      <c r="P3">
        <f>_xlfn.XLOOKUP(Table122159165171196[[#This Row],[ACA Number]],Table122110193494[NAT Number],Table122110193494[run 1 points])</f>
        <v>113.17</v>
      </c>
      <c r="Q3" cm="1">
        <f t="array" ref="Q3">_xlfn.LET(_xlpm.r,Table122159165171196[[#This Row],[CM SG R1]:[CM SG R2]],_xlpm.m,_xlfn.AGGREGATE(15,6,_xlpm.r/(_xlpm.r&lt;&gt;999.99),1),IFERROR(_xlpm.m,999.99))</f>
        <v>113.17</v>
      </c>
      <c r="S3">
        <v>126692</v>
      </c>
      <c r="T3" t="s">
        <v>809</v>
      </c>
      <c r="U3" t="s">
        <v>810</v>
      </c>
      <c r="V3">
        <f>_xlfn.XLOOKUP(Table123160166172197[[#This Row],[ACA Number]],Table122110193440526476[NAT Number],Table122110193440526476[run 1 points])</f>
        <v>95.76</v>
      </c>
      <c r="W3">
        <f>_xlfn.XLOOKUP(Table123160166172197[[#This Row],[ACA Number]],Table122110193440526476[NAT Number],Table122110193440526476[run 2 points])</f>
        <v>81.11</v>
      </c>
      <c r="X3">
        <f>_xlfn.XLOOKUP(Table123160166172197[[#This Row],[ACA Number]],Table122110193440526476112[NAT Number],Table122110193440526476112[run 1 points])</f>
        <v>107.04</v>
      </c>
      <c r="Y3">
        <f>_xlfn.XLOOKUP(Table123160166172197[[#This Row],[ACA Number]],Table122110193440526476112[NAT Number],Table122110193440526476112[run 2 points])</f>
        <v>83.19</v>
      </c>
      <c r="Z3">
        <f>_xlfn.XLOOKUP(Table123160166172197[[#This Row],[ACA Number]],Table122110193440526476112118[NAT Number],Table122110193440526476112118[run 1 points])</f>
        <v>77.44</v>
      </c>
      <c r="AA3">
        <f>_xlfn.XLOOKUP(Table123160166172197[[#This Row],[ACA Number]],Table122110193440526476112118[NAT Number],Table122110193440526476112118[run 2 points])</f>
        <v>66.209999999999994</v>
      </c>
      <c r="AB3" cm="1">
        <f t="array" ref="AB3">_xlfn.LET(_xlpm.r,Table123160166172197[[#This Row],[CM GS1 R1]:[MF GS R2]],_xlpm.m,_xlfn.AGGREGATE(15,6,_xlpm.r/(_xlpm.r&lt;&gt;999.99),1),IFERROR(_xlpm.m,999.99))</f>
        <v>66.209999999999994</v>
      </c>
      <c r="AD3">
        <v>126692</v>
      </c>
      <c r="AE3" t="s">
        <v>809</v>
      </c>
      <c r="AF3" t="s">
        <v>810</v>
      </c>
      <c r="AG3">
        <f>_xlfn.XLOOKUP(Table124161167173198[[#This Row],[ACA Number]],Table122110[NAT Number],Table122110[TT race points])</f>
        <v>999.99</v>
      </c>
      <c r="AH3">
        <f>_xlfn.XLOOKUP(Table124161167173198[[#This Row],[ACA Number]],Table12211019[NAT Number],Table12211019[TT race points])</f>
        <v>999.99</v>
      </c>
      <c r="AI3">
        <f>_xlfn.XLOOKUP(Table124161167173198[[#This Row],[ACA Number]],Table12211019344052647688[NAT Number],Table12211019344052647688[TT race points])</f>
        <v>106.56</v>
      </c>
      <c r="AJ3" cm="1">
        <f t="array" ref="AJ3">_xlfn.LET(_xlpm.r,Table124161167173198[[#This Row],[PM SL1]:[MF SL]],_xlpm.m,_xlfn.AGGREGATE(15,6,_xlpm.r/(_xlpm.r&lt;&gt;999.99),1),IFERROR(_xlpm.m,999.99))</f>
        <v>106.56</v>
      </c>
      <c r="AK3" cm="1">
        <f t="array" ref="AK3">_xlfn.LET(_xlpm.r,Table124161167173198[[#This Row],[PM SL1]:[MF SL]],_xlpm.m,_xlfn.AGGREGATE(15,6,_xlpm.r/(_xlpm.r&lt;&gt;999.99),2),IFERROR(_xlpm.m,999.99))</f>
        <v>999.99</v>
      </c>
      <c r="AM3">
        <v>126692</v>
      </c>
      <c r="AN3" t="s">
        <v>809</v>
      </c>
      <c r="AO3" t="s">
        <v>810</v>
      </c>
      <c r="AP3">
        <f>_xlfn.XLOOKUP(Table125162168174199[[#This Row],[ACA Number]],Table122110193440526476[NAT Number],Table122110193440526476[TT race points])</f>
        <v>87.22</v>
      </c>
      <c r="AQ3">
        <f>_xlfn.XLOOKUP(Table125162168174199[[#This Row],[ACA Number]],Table122110193440526476112[NAT Number],Table122110193440526476112[TT race points])</f>
        <v>89.74</v>
      </c>
      <c r="AR3">
        <f>_xlfn.XLOOKUP(Table125162168174199[[#This Row],[ACA Number]],Table122110193440526476112118[NAT Number],Table122110193440526476112118[TT race points])</f>
        <v>71.62</v>
      </c>
      <c r="AS3" cm="1">
        <f t="array" ref="AS3">_xlfn.LET(_xlpm.r,Table125162168174199[[#This Row],[CM GS1]:[MF GS]],_xlpm.m,_xlfn.AGGREGATE(15,6,_xlpm.r/(_xlpm.r&lt;&gt;999.99),1),IFERROR(_xlpm.m,999.99))</f>
        <v>71.62</v>
      </c>
      <c r="AT3" cm="1">
        <f t="array" ref="AT3">_xlfn.LET(_xlpm.r,Table125162168174199[[#This Row],[CM GS1]:[MF GS]],_xlpm.m,_xlfn.AGGREGATE(15,6,_xlpm.r/(_xlpm.r&lt;&gt;999.99),2),IFERROR(_xlpm.m,999.99))</f>
        <v>87.22</v>
      </c>
      <c r="AV3">
        <v>87549</v>
      </c>
      <c r="AW3" t="s">
        <v>812</v>
      </c>
      <c r="AX3" t="s">
        <v>810</v>
      </c>
      <c r="AY3">
        <f>_xlfn.XLOOKUP(Table126163169175200[[#This Row],[ACA Number]],Table121158164170195[ACA Number],Table121158164170195[Best 1 run SL race])</f>
        <v>18.64</v>
      </c>
      <c r="AZ3">
        <f>_xlfn.XLOOKUP(Table126163169175200[[#This Row],[ACA Number]],Table123160166172197[ACA Number],Table123160166172197[Best 1 Run])</f>
        <v>7.48</v>
      </c>
      <c r="BA3">
        <f>_xlfn.XLOOKUP(Table126163169175200[[#This Row],[ACA Number]],Table122159165171196[ACA Number],Table122159165171196[Best 1 run GS Race])</f>
        <v>48.24</v>
      </c>
      <c r="BB3">
        <f>_xlfn.XLOOKUP(Table126163169175200[[#This Row],[ACA Number]],Table124161167173198[ACA Number],Table124161167173198[Best result],)</f>
        <v>56.67</v>
      </c>
      <c r="BC3">
        <f>_xlfn.XLOOKUP(Table126163169175200[[#This Row],[ACA Number]],Table124161167173198[ACA Number],Table124161167173198[2nd Best Result])</f>
        <v>98.39</v>
      </c>
      <c r="BD3">
        <f>_xlfn.XLOOKUP(Table126163169175200[[#This Row],[ACA Number]],Table125162168174199[ACA Number],Table125162168174199[Best result])</f>
        <v>9.74</v>
      </c>
      <c r="BE3">
        <f>_xlfn.XLOOKUP(Table126163169175200[[#This Row],[ACA Number]],Table125162168174199[ACA Number],Table125162168174199[2nd Best Result])</f>
        <v>38.299999999999997</v>
      </c>
      <c r="BF3">
        <f t="shared" ref="BF3:BF8" si="0">SUM(AY3:BE3)</f>
        <v>277.46000000000004</v>
      </c>
      <c r="BG3">
        <f>_xlfn.RANK.EQ(Table126163169175200[[#This Row],[Total Points]],Table126163169175200[Total Points],1)</f>
        <v>2</v>
      </c>
    </row>
    <row r="4" spans="1:59" x14ac:dyDescent="0.3">
      <c r="A4">
        <v>84268</v>
      </c>
      <c r="B4" t="s">
        <v>811</v>
      </c>
      <c r="C4" t="s">
        <v>810</v>
      </c>
      <c r="D4" t="e">
        <f>_xlfn.XLOOKUP(Table121158164170195[[#This Row],[ACA Number]],Table122110[NAT Number],Table122110[run 1 points])</f>
        <v>#N/A</v>
      </c>
      <c r="E4" t="e">
        <f>_xlfn.XLOOKUP(Table121158164170195[[#This Row],[ACA Number]],Table122110[NAT Number],Table122110[run 2 points])</f>
        <v>#N/A</v>
      </c>
      <c r="F4" t="e">
        <f>_xlfn.XLOOKUP(Table121158164170195[[#This Row],[ACA Number]],Table12211019[NAT Number],Table12211019[run 2 points])</f>
        <v>#N/A</v>
      </c>
      <c r="G4" t="e">
        <f>_xlfn.XLOOKUP(Table121158164170195[[#This Row],[ACA Number]],Table12211019[NAT Number],Table12211019[run 2 points])</f>
        <v>#N/A</v>
      </c>
      <c r="H4" t="e">
        <f>_xlfn.XLOOKUP(Table121158164170195[[#This Row],[ACA Number]],Table12211019344052647688[NAT Number],Table12211019344052647688[run 1 points])</f>
        <v>#N/A</v>
      </c>
      <c r="I4" t="e">
        <f>_xlfn.XLOOKUP(Table121158164170195[[#This Row],[ACA Number]],Table12211019344052647688[NAT Number],Table12211019344052647688[run 2 points])</f>
        <v>#N/A</v>
      </c>
      <c r="J4" cm="1">
        <f t="array" ref="J4">_xlfn.LET(_xlpm.r,Table121158164170195[[#This Row],[PM SL1 R1]:[MF SL1 R2]],_xlpm.m,_xlfn.AGGREGATE(15,6,_xlpm.r/(_xlpm.r&lt;&gt;999.99),1),IFERROR(_xlpm.m,999.99))</f>
        <v>999.99</v>
      </c>
      <c r="L4">
        <v>84268</v>
      </c>
      <c r="M4" t="s">
        <v>811</v>
      </c>
      <c r="N4" t="s">
        <v>810</v>
      </c>
      <c r="O4" t="e">
        <f>_xlfn.XLOOKUP(Table122159165171196[[#This Row],[ACA Number]],Table127163191[NAT Number],Table127163191[run 1 points])</f>
        <v>#N/A</v>
      </c>
      <c r="P4" t="e">
        <f>_xlfn.XLOOKUP(Table122159165171196[[#This Row],[ACA Number]],Table122110193494[NAT Number],Table122110193494[run 1 points])</f>
        <v>#N/A</v>
      </c>
      <c r="Q4" cm="1">
        <f t="array" ref="Q4">_xlfn.LET(_xlpm.r,Table122159165171196[[#This Row],[CM SG R1]:[CM SG R2]],_xlpm.m,_xlfn.AGGREGATE(15,6,_xlpm.r/(_xlpm.r&lt;&gt;999.99),1),IFERROR(_xlpm.m,999.99))</f>
        <v>999.99</v>
      </c>
      <c r="S4">
        <v>84268</v>
      </c>
      <c r="T4" t="s">
        <v>811</v>
      </c>
      <c r="U4" t="s">
        <v>810</v>
      </c>
      <c r="V4" t="e">
        <f>_xlfn.XLOOKUP(Table123160166172197[[#This Row],[ACA Number]],Table122110193440526476[NAT Number],Table122110193440526476[run 1 points])</f>
        <v>#N/A</v>
      </c>
      <c r="W4" t="e">
        <f>_xlfn.XLOOKUP(Table123160166172197[[#This Row],[ACA Number]],Table122110193440526476[NAT Number],Table122110193440526476[run 2 points])</f>
        <v>#N/A</v>
      </c>
      <c r="X4" t="e">
        <f>_xlfn.XLOOKUP(Table123160166172197[[#This Row],[ACA Number]],Table122110193440526476112[NAT Number],Table122110193440526476112[run 1 points])</f>
        <v>#N/A</v>
      </c>
      <c r="Y4" t="e">
        <f>_xlfn.XLOOKUP(Table123160166172197[[#This Row],[ACA Number]],Table122110193440526476112[NAT Number],Table122110193440526476112[run 2 points])</f>
        <v>#N/A</v>
      </c>
      <c r="Z4" t="e">
        <f>_xlfn.XLOOKUP(Table123160166172197[[#This Row],[ACA Number]],Table122110193440526476112118[NAT Number],Table122110193440526476112118[run 1 points])</f>
        <v>#N/A</v>
      </c>
      <c r="AA4" t="e">
        <f>_xlfn.XLOOKUP(Table123160166172197[[#This Row],[ACA Number]],Table122110193440526476112118[NAT Number],Table122110193440526476112118[run 2 points])</f>
        <v>#N/A</v>
      </c>
      <c r="AB4" cm="1">
        <f t="array" ref="AB4">_xlfn.LET(_xlpm.r,Table123160166172197[[#This Row],[CM GS1 R1]:[MF GS R2]],_xlpm.m,_xlfn.AGGREGATE(15,6,_xlpm.r/(_xlpm.r&lt;&gt;999.99),1),IFERROR(_xlpm.m,999.99))</f>
        <v>999.99</v>
      </c>
      <c r="AD4">
        <v>84268</v>
      </c>
      <c r="AE4" t="s">
        <v>811</v>
      </c>
      <c r="AF4" t="s">
        <v>810</v>
      </c>
      <c r="AG4" t="e">
        <f>_xlfn.XLOOKUP(Table124161167173198[[#This Row],[ACA Number]],Table122110[NAT Number],Table122110[TT race points])</f>
        <v>#N/A</v>
      </c>
      <c r="AH4" t="e">
        <f>_xlfn.XLOOKUP(Table124161167173198[[#This Row],[ACA Number]],Table12211019[NAT Number],Table12211019[TT race points])</f>
        <v>#N/A</v>
      </c>
      <c r="AI4" t="e">
        <f>_xlfn.XLOOKUP(Table124161167173198[[#This Row],[ACA Number]],Table12211019344052647688[NAT Number],Table12211019344052647688[TT race points])</f>
        <v>#N/A</v>
      </c>
      <c r="AJ4" cm="1">
        <f t="array" ref="AJ4">_xlfn.LET(_xlpm.r,Table124161167173198[[#This Row],[PM SL1]:[MF SL]],_xlpm.m,_xlfn.AGGREGATE(15,6,_xlpm.r/(_xlpm.r&lt;&gt;999.99),1),IFERROR(_xlpm.m,999.99))</f>
        <v>999.99</v>
      </c>
      <c r="AK4" cm="1">
        <f t="array" ref="AK4">_xlfn.LET(_xlpm.r,Table124161167173198[[#This Row],[PM SL1]:[MF SL]],_xlpm.m,_xlfn.AGGREGATE(15,6,_xlpm.r/(_xlpm.r&lt;&gt;999.99),2),IFERROR(_xlpm.m,999.99))</f>
        <v>999.99</v>
      </c>
      <c r="AM4">
        <v>84268</v>
      </c>
      <c r="AN4" t="s">
        <v>811</v>
      </c>
      <c r="AO4" t="s">
        <v>810</v>
      </c>
      <c r="AP4" t="e">
        <f>_xlfn.XLOOKUP(Table125162168174199[[#This Row],[ACA Number]],Table122110193440526476[NAT Number],Table122110193440526476[TT race points])</f>
        <v>#N/A</v>
      </c>
      <c r="AQ4" t="e">
        <f>_xlfn.XLOOKUP(Table125162168174199[[#This Row],[ACA Number]],Table122110193440526476112[NAT Number],Table122110193440526476112[TT race points])</f>
        <v>#N/A</v>
      </c>
      <c r="AR4" t="e">
        <f>_xlfn.XLOOKUP(Table125162168174199[[#This Row],[ACA Number]],Table122110193440526476112118[NAT Number],Table122110193440526476112118[TT race points])</f>
        <v>#N/A</v>
      </c>
      <c r="AS4" cm="1">
        <f t="array" ref="AS4">_xlfn.LET(_xlpm.r,Table125162168174199[[#This Row],[CM GS1]:[MF GS]],_xlpm.m,_xlfn.AGGREGATE(15,6,_xlpm.r/(_xlpm.r&lt;&gt;999.99),1),IFERROR(_xlpm.m,999.99))</f>
        <v>999.99</v>
      </c>
      <c r="AT4" cm="1">
        <f t="array" ref="AT4">_xlfn.LET(_xlpm.r,Table125162168174199[[#This Row],[CM GS1]:[MF GS]],_xlpm.m,_xlfn.AGGREGATE(15,6,_xlpm.r/(_xlpm.r&lt;&gt;999.99),2),IFERROR(_xlpm.m,999.99))</f>
        <v>999.99</v>
      </c>
      <c r="AV4">
        <v>104657</v>
      </c>
      <c r="AW4" t="s">
        <v>815</v>
      </c>
      <c r="AX4" t="s">
        <v>810</v>
      </c>
      <c r="AY4">
        <f>_xlfn.XLOOKUP(Table126163169175200[[#This Row],[ACA Number]],Table121158164170195[ACA Number],Table121158164170195[Best 1 run SL race])</f>
        <v>93.58</v>
      </c>
      <c r="AZ4">
        <f>_xlfn.XLOOKUP(Table126163169175200[[#This Row],[ACA Number]],Table123160166172197[ACA Number],Table123160166172197[Best 1 Run])</f>
        <v>73.900000000000006</v>
      </c>
      <c r="BA4">
        <f>_xlfn.XLOOKUP(Table126163169175200[[#This Row],[ACA Number]],Table122159165171196[ACA Number],Table122159165171196[Best 1 run GS Race])</f>
        <v>135.11000000000001</v>
      </c>
      <c r="BB4">
        <f>_xlfn.XLOOKUP(Table126163169175200[[#This Row],[ACA Number]],Table124161167173198[ACA Number],Table124161167173198[Best result],)</f>
        <v>108.36</v>
      </c>
      <c r="BC4">
        <f>_xlfn.XLOOKUP(Table126163169175200[[#This Row],[ACA Number]],Table124161167173198[ACA Number],Table124161167173198[2nd Best Result])</f>
        <v>132.83000000000001</v>
      </c>
      <c r="BD4">
        <f>_xlfn.XLOOKUP(Table126163169175200[[#This Row],[ACA Number]],Table125162168174199[ACA Number],Table125162168174199[Best result])</f>
        <v>85.37</v>
      </c>
      <c r="BE4">
        <f>_xlfn.XLOOKUP(Table126163169175200[[#This Row],[ACA Number]],Table125162168174199[ACA Number],Table125162168174199[2nd Best Result])</f>
        <v>97.09</v>
      </c>
      <c r="BF4">
        <f t="shared" si="0"/>
        <v>726.24000000000012</v>
      </c>
      <c r="BG4">
        <f>_xlfn.RANK.EQ(Table126163169175200[[#This Row],[Total Points]],Table126163169175200[Total Points],1)</f>
        <v>3</v>
      </c>
    </row>
    <row r="5" spans="1:59" x14ac:dyDescent="0.3">
      <c r="A5">
        <v>87549</v>
      </c>
      <c r="B5" t="s">
        <v>812</v>
      </c>
      <c r="C5" t="s">
        <v>810</v>
      </c>
      <c r="D5">
        <f>_xlfn.XLOOKUP(Table121158164170195[[#This Row],[ACA Number]],Table122110[NAT Number],Table122110[run 1 points])</f>
        <v>105.19</v>
      </c>
      <c r="E5">
        <f>_xlfn.XLOOKUP(Table121158164170195[[#This Row],[ACA Number]],Table122110[NAT Number],Table122110[run 2 points])</f>
        <v>113.21</v>
      </c>
      <c r="F5">
        <f>_xlfn.XLOOKUP(Table121158164170195[[#This Row],[ACA Number]],Table12211019[NAT Number],Table12211019[run 2 points])</f>
        <v>85.03</v>
      </c>
      <c r="G5">
        <f>_xlfn.XLOOKUP(Table121158164170195[[#This Row],[ACA Number]],Table12211019[NAT Number],Table12211019[run 2 points])</f>
        <v>85.03</v>
      </c>
      <c r="H5">
        <f>_xlfn.XLOOKUP(Table121158164170195[[#This Row],[ACA Number]],Table12211019344052647688[NAT Number],Table12211019344052647688[run 1 points])</f>
        <v>18.64</v>
      </c>
      <c r="I5">
        <f>_xlfn.XLOOKUP(Table121158164170195[[#This Row],[ACA Number]],Table12211019344052647688[NAT Number],Table12211019344052647688[run 2 points])</f>
        <v>999.99</v>
      </c>
      <c r="J5" cm="1">
        <f t="array" ref="J5">_xlfn.LET(_xlpm.r,Table121158164170195[[#This Row],[PM SL1 R1]:[MF SL1 R2]],_xlpm.m,_xlfn.AGGREGATE(15,6,_xlpm.r/(_xlpm.r&lt;&gt;999.99),1),IFERROR(_xlpm.m,999.99))</f>
        <v>18.64</v>
      </c>
      <c r="L5">
        <v>87549</v>
      </c>
      <c r="M5" t="s">
        <v>812</v>
      </c>
      <c r="N5" t="s">
        <v>810</v>
      </c>
      <c r="O5">
        <f>_xlfn.XLOOKUP(Table122159165171196[[#This Row],[ACA Number]],Table127163191[NAT Number],Table127163191[run 1 points])</f>
        <v>48.24</v>
      </c>
      <c r="P5">
        <f>_xlfn.XLOOKUP(Table122159165171196[[#This Row],[ACA Number]],Table122110193494[NAT Number],Table122110193494[run 1 points])</f>
        <v>66.069999999999993</v>
      </c>
      <c r="Q5" cm="1">
        <f t="array" ref="Q5">_xlfn.LET(_xlpm.r,Table122159165171196[[#This Row],[CM SG R1]:[CM SG R2]],_xlpm.m,_xlfn.AGGREGATE(15,6,_xlpm.r/(_xlpm.r&lt;&gt;999.99),1),IFERROR(_xlpm.m,999.99))</f>
        <v>48.24</v>
      </c>
      <c r="S5">
        <v>87549</v>
      </c>
      <c r="T5" t="s">
        <v>812</v>
      </c>
      <c r="U5" t="s">
        <v>810</v>
      </c>
      <c r="V5">
        <f>_xlfn.XLOOKUP(Table123160166172197[[#This Row],[ACA Number]],Table122110193440526476[NAT Number],Table122110193440526476[run 1 points])</f>
        <v>43.2</v>
      </c>
      <c r="W5">
        <f>_xlfn.XLOOKUP(Table123160166172197[[#This Row],[ACA Number]],Table122110193440526476[NAT Number],Table122110193440526476[run 2 points])</f>
        <v>49.68</v>
      </c>
      <c r="X5">
        <f>_xlfn.XLOOKUP(Table123160166172197[[#This Row],[ACA Number]],Table122110193440526476112[NAT Number],Table122110193440526476112[run 1 points])</f>
        <v>51.94</v>
      </c>
      <c r="Y5">
        <f>_xlfn.XLOOKUP(Table123160166172197[[#This Row],[ACA Number]],Table122110193440526476112[NAT Number],Table122110193440526476112[run 2 points])</f>
        <v>34.81</v>
      </c>
      <c r="Z5">
        <f>_xlfn.XLOOKUP(Table123160166172197[[#This Row],[ACA Number]],Table122110193440526476112118[NAT Number],Table122110193440526476112118[run 1 points])</f>
        <v>12.18</v>
      </c>
      <c r="AA5">
        <f>_xlfn.XLOOKUP(Table123160166172197[[#This Row],[ACA Number]],Table122110193440526476112118[NAT Number],Table122110193440526476112118[run 2 points])</f>
        <v>7.48</v>
      </c>
      <c r="AB5" cm="1">
        <f t="array" ref="AB5">_xlfn.LET(_xlpm.r,Table123160166172197[[#This Row],[CM GS1 R1]:[MF GS R2]],_xlpm.m,_xlfn.AGGREGATE(15,6,_xlpm.r/(_xlpm.r&lt;&gt;999.99),1),IFERROR(_xlpm.m,999.99))</f>
        <v>7.48</v>
      </c>
      <c r="AD5">
        <v>87549</v>
      </c>
      <c r="AE5" t="s">
        <v>812</v>
      </c>
      <c r="AF5" t="s">
        <v>810</v>
      </c>
      <c r="AG5">
        <f>_xlfn.XLOOKUP(Table124161167173198[[#This Row],[ACA Number]],Table122110[NAT Number],Table122110[TT race points])</f>
        <v>98.39</v>
      </c>
      <c r="AH5">
        <f>_xlfn.XLOOKUP(Table124161167173198[[#This Row],[ACA Number]],Table12211019[NAT Number],Table12211019[TT race points])</f>
        <v>56.67</v>
      </c>
      <c r="AI5">
        <f>_xlfn.XLOOKUP(Table124161167173198[[#This Row],[ACA Number]],Table12211019344052647688[NAT Number],Table12211019344052647688[TT race points])</f>
        <v>999.99</v>
      </c>
      <c r="AJ5" cm="1">
        <f t="array" ref="AJ5">_xlfn.LET(_xlpm.r,Table124161167173198[[#This Row],[PM SL1]:[MF SL]],_xlpm.m,_xlfn.AGGREGATE(15,6,_xlpm.r/(_xlpm.r&lt;&gt;999.99),1),IFERROR(_xlpm.m,999.99))</f>
        <v>56.67</v>
      </c>
      <c r="AK5" cm="1">
        <f t="array" ref="AK5">_xlfn.LET(_xlpm.r,Table124161167173198[[#This Row],[PM SL1]:[MF SL]],_xlpm.m,_xlfn.AGGREGATE(15,6,_xlpm.r/(_xlpm.r&lt;&gt;999.99),2),IFERROR(_xlpm.m,999.99))</f>
        <v>98.39</v>
      </c>
      <c r="AM5">
        <v>87549</v>
      </c>
      <c r="AN5" t="s">
        <v>812</v>
      </c>
      <c r="AO5" t="s">
        <v>810</v>
      </c>
      <c r="AP5">
        <f>_xlfn.XLOOKUP(Table125162168174199[[#This Row],[ACA Number]],Table122110193440526476[NAT Number],Table122110193440526476[TT race points])</f>
        <v>45.56</v>
      </c>
      <c r="AQ5">
        <f>_xlfn.XLOOKUP(Table125162168174199[[#This Row],[ACA Number]],Table122110193440526476112[NAT Number],Table122110193440526476112[TT race points])</f>
        <v>38.299999999999997</v>
      </c>
      <c r="AR5">
        <f>_xlfn.XLOOKUP(Table125162168174199[[#This Row],[ACA Number]],Table122110193440526476112118[NAT Number],Table122110193440526476112118[TT race points])</f>
        <v>9.74</v>
      </c>
      <c r="AS5" cm="1">
        <f t="array" ref="AS5">_xlfn.LET(_xlpm.r,Table125162168174199[[#This Row],[CM GS1]:[MF GS]],_xlpm.m,_xlfn.AGGREGATE(15,6,_xlpm.r/(_xlpm.r&lt;&gt;999.99),1),IFERROR(_xlpm.m,999.99))</f>
        <v>9.74</v>
      </c>
      <c r="AT5" cm="1">
        <f t="array" ref="AT5">_xlfn.LET(_xlpm.r,Table125162168174199[[#This Row],[CM GS1]:[MF GS]],_xlpm.m,_xlfn.AGGREGATE(15,6,_xlpm.r/(_xlpm.r&lt;&gt;999.99),2),IFERROR(_xlpm.m,999.99))</f>
        <v>38.299999999999997</v>
      </c>
      <c r="AV5">
        <v>87497</v>
      </c>
      <c r="AW5" t="s">
        <v>813</v>
      </c>
      <c r="AX5" t="s">
        <v>810</v>
      </c>
      <c r="AY5">
        <f>_xlfn.XLOOKUP(Table126163169175200[[#This Row],[ACA Number]],Table121158164170195[ACA Number],Table121158164170195[Best 1 run SL race])</f>
        <v>13.34</v>
      </c>
      <c r="AZ5">
        <f>_xlfn.XLOOKUP(Table126163169175200[[#This Row],[ACA Number]],Table123160166172197[ACA Number],Table123160166172197[Best 1 Run])</f>
        <v>24.13</v>
      </c>
      <c r="BA5">
        <f>_xlfn.XLOOKUP(Table126163169175200[[#This Row],[ACA Number]],Table122159165171196[ACA Number],Table122159165171196[Best 1 run GS Race])</f>
        <v>40.74</v>
      </c>
      <c r="BB5">
        <f>_xlfn.XLOOKUP(Table126163169175200[[#This Row],[ACA Number]],Table124161167173198[ACA Number],Table124161167173198[Best result],)</f>
        <v>7.39</v>
      </c>
      <c r="BC5">
        <f>_xlfn.XLOOKUP(Table126163169175200[[#This Row],[ACA Number]],Table124161167173198[ACA Number],Table124161167173198[2nd Best Result])</f>
        <v>17.170000000000002</v>
      </c>
      <c r="BD5">
        <f>_xlfn.XLOOKUP(Table126163169175200[[#This Row],[ACA Number]],Table125162168174199[ACA Number],Table125162168174199[Best result])</f>
        <v>23.69</v>
      </c>
      <c r="BE5">
        <f>_xlfn.XLOOKUP(Table126163169175200[[#This Row],[ACA Number]],Table125162168174199[ACA Number],Table125162168174199[2nd Best Result])</f>
        <v>27.34</v>
      </c>
      <c r="BF5">
        <f t="shared" si="0"/>
        <v>153.80000000000001</v>
      </c>
      <c r="BG5">
        <f>_xlfn.RANK.EQ(Table126163169175200[[#This Row],[Total Points]],Table126163169175200[Total Points],1)</f>
        <v>1</v>
      </c>
    </row>
    <row r="6" spans="1:59" x14ac:dyDescent="0.3">
      <c r="A6">
        <v>87497</v>
      </c>
      <c r="B6" t="s">
        <v>813</v>
      </c>
      <c r="C6" t="s">
        <v>810</v>
      </c>
      <c r="D6">
        <f>_xlfn.XLOOKUP(Table121158164170195[[#This Row],[ACA Number]],Table122110[NAT Number],Table122110[run 1 points])</f>
        <v>22.91</v>
      </c>
      <c r="E6">
        <f>_xlfn.XLOOKUP(Table121158164170195[[#This Row],[ACA Number]],Table122110[NAT Number],Table122110[run 2 points])</f>
        <v>30.96</v>
      </c>
      <c r="F6">
        <f>_xlfn.XLOOKUP(Table121158164170195[[#This Row],[ACA Number]],Table12211019[NAT Number],Table12211019[run 2 points])</f>
        <v>28.1</v>
      </c>
      <c r="G6">
        <f>_xlfn.XLOOKUP(Table121158164170195[[#This Row],[ACA Number]],Table12211019[NAT Number],Table12211019[run 2 points])</f>
        <v>28.1</v>
      </c>
      <c r="H6">
        <f>_xlfn.XLOOKUP(Table121158164170195[[#This Row],[ACA Number]],Table12211019344052647688[NAT Number],Table12211019344052647688[run 1 points])</f>
        <v>13.34</v>
      </c>
      <c r="I6">
        <f>_xlfn.XLOOKUP(Table121158164170195[[#This Row],[ACA Number]],Table12211019344052647688[NAT Number],Table12211019344052647688[run 2 points])</f>
        <v>21.32</v>
      </c>
      <c r="J6" cm="1">
        <f t="array" ref="J6">_xlfn.LET(_xlpm.r,Table121158164170195[[#This Row],[PM SL1 R1]:[MF SL1 R2]],_xlpm.m,_xlfn.AGGREGATE(15,6,_xlpm.r/(_xlpm.r&lt;&gt;999.99),1),IFERROR(_xlpm.m,999.99))</f>
        <v>13.34</v>
      </c>
      <c r="L6">
        <v>87497</v>
      </c>
      <c r="M6" t="s">
        <v>813</v>
      </c>
      <c r="N6" t="s">
        <v>810</v>
      </c>
      <c r="O6">
        <f>_xlfn.XLOOKUP(Table122159165171196[[#This Row],[ACA Number]],Table127163191[NAT Number],Table127163191[run 1 points])</f>
        <v>40.74</v>
      </c>
      <c r="P6">
        <f>_xlfn.XLOOKUP(Table122159165171196[[#This Row],[ACA Number]],Table122110193494[NAT Number],Table122110193494[run 1 points])</f>
        <v>86.22</v>
      </c>
      <c r="Q6" cm="1">
        <f t="array" ref="Q6">_xlfn.LET(_xlpm.r,Table122159165171196[[#This Row],[CM SG R1]:[CM SG R2]],_xlpm.m,_xlfn.AGGREGATE(15,6,_xlpm.r/(_xlpm.r&lt;&gt;999.99),1),IFERROR(_xlpm.m,999.99))</f>
        <v>40.74</v>
      </c>
      <c r="S6">
        <v>87497</v>
      </c>
      <c r="T6" t="s">
        <v>813</v>
      </c>
      <c r="U6" t="s">
        <v>810</v>
      </c>
      <c r="V6">
        <f>_xlfn.XLOOKUP(Table123160166172197[[#This Row],[ACA Number]],Table122110193440526476[NAT Number],Table122110193440526476[run 1 points])</f>
        <v>39.18</v>
      </c>
      <c r="W6">
        <f>_xlfn.XLOOKUP(Table123160166172197[[#This Row],[ACA Number]],Table122110193440526476[NAT Number],Table122110193440526476[run 2 points])</f>
        <v>85.08</v>
      </c>
      <c r="X6">
        <f>_xlfn.XLOOKUP(Table123160166172197[[#This Row],[ACA Number]],Table122110193440526476112[NAT Number],Table122110193440526476112[run 1 points])</f>
        <v>25.67</v>
      </c>
      <c r="Y6">
        <f>_xlfn.XLOOKUP(Table123160166172197[[#This Row],[ACA Number]],Table122110193440526476112[NAT Number],Table122110193440526476112[run 2 points])</f>
        <v>31.37</v>
      </c>
      <c r="Z6">
        <f>_xlfn.XLOOKUP(Table123160166172197[[#This Row],[ACA Number]],Table122110193440526476112118[NAT Number],Table122110193440526476112118[run 1 points])</f>
        <v>30.79</v>
      </c>
      <c r="AA6">
        <f>_xlfn.XLOOKUP(Table123160166172197[[#This Row],[ACA Number]],Table122110193440526476112118[NAT Number],Table122110193440526476112118[run 2 points])</f>
        <v>24.13</v>
      </c>
      <c r="AB6" cm="1">
        <f t="array" ref="AB6">_xlfn.LET(_xlpm.r,Table123160166172197[[#This Row],[CM GS1 R1]:[MF GS R2]],_xlpm.m,_xlfn.AGGREGATE(15,6,_xlpm.r/(_xlpm.r&lt;&gt;999.99),1),IFERROR(_xlpm.m,999.99))</f>
        <v>24.13</v>
      </c>
      <c r="AD6">
        <v>87497</v>
      </c>
      <c r="AE6" t="s">
        <v>813</v>
      </c>
      <c r="AF6" t="s">
        <v>810</v>
      </c>
      <c r="AG6">
        <f>_xlfn.XLOOKUP(Table124161167173198[[#This Row],[ACA Number]],Table122110[NAT Number],Table122110[TT race points])</f>
        <v>17.170000000000002</v>
      </c>
      <c r="AH6">
        <f>_xlfn.XLOOKUP(Table124161167173198[[#This Row],[ACA Number]],Table12211019[NAT Number],Table12211019[TT race points])</f>
        <v>999.99</v>
      </c>
      <c r="AI6">
        <f>_xlfn.XLOOKUP(Table124161167173198[[#This Row],[ACA Number]],Table12211019344052647688[NAT Number],Table12211019344052647688[TT race points])</f>
        <v>7.39</v>
      </c>
      <c r="AJ6" cm="1">
        <f t="array" ref="AJ6">_xlfn.LET(_xlpm.r,Table124161167173198[[#This Row],[PM SL1]:[MF SL]],_xlpm.m,_xlfn.AGGREGATE(15,6,_xlpm.r/(_xlpm.r&lt;&gt;999.99),1),IFERROR(_xlpm.m,999.99))</f>
        <v>7.39</v>
      </c>
      <c r="AK6" cm="1">
        <f t="array" ref="AK6">_xlfn.LET(_xlpm.r,Table124161167173198[[#This Row],[PM SL1]:[MF SL]],_xlpm.m,_xlfn.AGGREGATE(15,6,_xlpm.r/(_xlpm.r&lt;&gt;999.99),2),IFERROR(_xlpm.m,999.99))</f>
        <v>17.170000000000002</v>
      </c>
      <c r="AM6">
        <v>87497</v>
      </c>
      <c r="AN6" t="s">
        <v>813</v>
      </c>
      <c r="AO6" t="s">
        <v>810</v>
      </c>
      <c r="AP6">
        <f>_xlfn.XLOOKUP(Table125162168174199[[#This Row],[ACA Number]],Table122110193440526476[NAT Number],Table122110193440526476[TT race points])</f>
        <v>61.8</v>
      </c>
      <c r="AQ6">
        <f>_xlfn.XLOOKUP(Table125162168174199[[#This Row],[ACA Number]],Table122110193440526476112[NAT Number],Table122110193440526476112[TT race points])</f>
        <v>23.69</v>
      </c>
      <c r="AR6">
        <f>_xlfn.XLOOKUP(Table125162168174199[[#This Row],[ACA Number]],Table122110193440526476112118[NAT Number],Table122110193440526476112118[TT race points])</f>
        <v>27.34</v>
      </c>
      <c r="AS6" cm="1">
        <f t="array" ref="AS6">_xlfn.LET(_xlpm.r,Table125162168174199[[#This Row],[CM GS1]:[MF GS]],_xlpm.m,_xlfn.AGGREGATE(15,6,_xlpm.r/(_xlpm.r&lt;&gt;999.99),1),IFERROR(_xlpm.m,999.99))</f>
        <v>23.69</v>
      </c>
      <c r="AT6" cm="1">
        <f t="array" ref="AT6">_xlfn.LET(_xlpm.r,Table125162168174199[[#This Row],[CM GS1]:[MF GS]],_xlpm.m,_xlfn.AGGREGATE(15,6,_xlpm.r/(_xlpm.r&lt;&gt;999.99),2),IFERROR(_xlpm.m,999.99))</f>
        <v>27.34</v>
      </c>
      <c r="AV6">
        <v>126692</v>
      </c>
      <c r="AW6" t="s">
        <v>809</v>
      </c>
      <c r="AX6" t="s">
        <v>810</v>
      </c>
      <c r="AY6">
        <f>_xlfn.XLOOKUP(Table126163169175200[[#This Row],[ACA Number]],Table121158164170195[ACA Number],Table121158164170195[Best 1 run SL race])</f>
        <v>92.14</v>
      </c>
      <c r="AZ6">
        <f>_xlfn.XLOOKUP(Table126163169175200[[#This Row],[ACA Number]],Table123160166172197[ACA Number],Table123160166172197[Best 1 Run])</f>
        <v>66.209999999999994</v>
      </c>
      <c r="BA6">
        <f>_xlfn.XLOOKUP(Table126163169175200[[#This Row],[ACA Number]],Table122159165171196[ACA Number],Table122159165171196[Best 1 run GS Race])</f>
        <v>113.17</v>
      </c>
      <c r="BB6">
        <f>_xlfn.XLOOKUP(Table126163169175200[[#This Row],[ACA Number]],Table124161167173198[ACA Number],Table124161167173198[Best result],)</f>
        <v>106.56</v>
      </c>
      <c r="BC6">
        <f>_xlfn.XLOOKUP(Table126163169175200[[#This Row],[ACA Number]],Table124161167173198[ACA Number],Table124161167173198[2nd Best Result])</f>
        <v>999.99</v>
      </c>
      <c r="BD6">
        <f>_xlfn.XLOOKUP(Table126163169175200[[#This Row],[ACA Number]],Table125162168174199[ACA Number],Table125162168174199[Best result])</f>
        <v>71.62</v>
      </c>
      <c r="BE6">
        <f>_xlfn.XLOOKUP(Table126163169175200[[#This Row],[ACA Number]],Table125162168174199[ACA Number],Table125162168174199[2nd Best Result])</f>
        <v>87.22</v>
      </c>
      <c r="BF6">
        <f t="shared" si="0"/>
        <v>1536.91</v>
      </c>
      <c r="BG6">
        <f>_xlfn.RANK.EQ(Table126163169175200[[#This Row],[Total Points]],Table126163169175200[Total Points],1)</f>
        <v>4</v>
      </c>
    </row>
    <row r="7" spans="1:59" x14ac:dyDescent="0.3">
      <c r="A7">
        <v>84474</v>
      </c>
      <c r="B7" t="s">
        <v>814</v>
      </c>
      <c r="C7" t="s">
        <v>810</v>
      </c>
      <c r="D7">
        <f>_xlfn.XLOOKUP(Table121158164170195[[#This Row],[ACA Number]],Table122110[NAT Number],Table122110[run 1 points])</f>
        <v>999.99</v>
      </c>
      <c r="E7">
        <f>_xlfn.XLOOKUP(Table121158164170195[[#This Row],[ACA Number]],Table122110[NAT Number],Table122110[run 2 points])</f>
        <v>0</v>
      </c>
      <c r="F7">
        <f>_xlfn.XLOOKUP(Table121158164170195[[#This Row],[ACA Number]],Table12211019[NAT Number],Table12211019[run 2 points])</f>
        <v>0</v>
      </c>
      <c r="G7">
        <f>_xlfn.XLOOKUP(Table121158164170195[[#This Row],[ACA Number]],Table12211019[NAT Number],Table12211019[run 2 points])</f>
        <v>0</v>
      </c>
      <c r="H7">
        <f>_xlfn.XLOOKUP(Table121158164170195[[#This Row],[ACA Number]],Table12211019344052647688[NAT Number],Table12211019344052647688[run 1 points])</f>
        <v>999.99</v>
      </c>
      <c r="I7">
        <f>_xlfn.XLOOKUP(Table121158164170195[[#This Row],[ACA Number]],Table12211019344052647688[NAT Number],Table12211019344052647688[run 2 points])</f>
        <v>0</v>
      </c>
      <c r="J7" cm="1">
        <f t="array" ref="J7">_xlfn.LET(_xlpm.r,Table121158164170195[[#This Row],[PM SL1 R1]:[MF SL1 R2]],_xlpm.m,_xlfn.AGGREGATE(15,6,_xlpm.r/(_xlpm.r&lt;&gt;999.99),1),IFERROR(_xlpm.m,999.99))</f>
        <v>0</v>
      </c>
      <c r="L7">
        <v>84474</v>
      </c>
      <c r="M7" t="s">
        <v>814</v>
      </c>
      <c r="N7" t="s">
        <v>810</v>
      </c>
      <c r="O7">
        <f>_xlfn.XLOOKUP(Table122159165171196[[#This Row],[ACA Number]],Table127163191[NAT Number],Table127163191[run 1 points])</f>
        <v>18.5</v>
      </c>
      <c r="P7">
        <f>_xlfn.XLOOKUP(Table122159165171196[[#This Row],[ACA Number]],Table122110193494[NAT Number],Table122110193494[run 1 points])</f>
        <v>0</v>
      </c>
      <c r="Q7" cm="1">
        <f t="array" ref="Q7">_xlfn.LET(_xlpm.r,Table122159165171196[[#This Row],[CM SG R1]:[CM SG R2]],_xlpm.m,_xlfn.AGGREGATE(15,6,_xlpm.r/(_xlpm.r&lt;&gt;999.99),1),IFERROR(_xlpm.m,999.99))</f>
        <v>0</v>
      </c>
      <c r="S7">
        <v>84474</v>
      </c>
      <c r="T7" t="s">
        <v>814</v>
      </c>
      <c r="U7" t="s">
        <v>810</v>
      </c>
      <c r="V7">
        <f>_xlfn.XLOOKUP(Table123160166172197[[#This Row],[ACA Number]],Table122110193440526476[NAT Number],Table122110193440526476[run 1 points])</f>
        <v>999.99</v>
      </c>
      <c r="W7">
        <f>_xlfn.XLOOKUP(Table123160166172197[[#This Row],[ACA Number]],Table122110193440526476[NAT Number],Table122110193440526476[run 2 points])</f>
        <v>999.99</v>
      </c>
      <c r="X7">
        <f>_xlfn.XLOOKUP(Table123160166172197[[#This Row],[ACA Number]],Table122110193440526476112[NAT Number],Table122110193440526476112[run 1 points])</f>
        <v>999.99</v>
      </c>
      <c r="Y7">
        <f>_xlfn.XLOOKUP(Table123160166172197[[#This Row],[ACA Number]],Table122110193440526476112[NAT Number],Table122110193440526476112[run 2 points])</f>
        <v>999.99</v>
      </c>
      <c r="Z7">
        <f>_xlfn.XLOOKUP(Table123160166172197[[#This Row],[ACA Number]],Table122110193440526476112118[NAT Number],Table122110193440526476112118[run 1 points])</f>
        <v>0</v>
      </c>
      <c r="AA7">
        <f>_xlfn.XLOOKUP(Table123160166172197[[#This Row],[ACA Number]],Table122110193440526476112118[NAT Number],Table122110193440526476112118[run 2 points])</f>
        <v>0</v>
      </c>
      <c r="AB7" cm="1">
        <f t="array" ref="AB7">_xlfn.LET(_xlpm.r,Table123160166172197[[#This Row],[CM GS1 R1]:[MF GS R2]],_xlpm.m,_xlfn.AGGREGATE(15,6,_xlpm.r/(_xlpm.r&lt;&gt;999.99),1),IFERROR(_xlpm.m,999.99))</f>
        <v>0</v>
      </c>
      <c r="AD7">
        <v>84474</v>
      </c>
      <c r="AE7" t="s">
        <v>814</v>
      </c>
      <c r="AF7" t="s">
        <v>810</v>
      </c>
      <c r="AG7">
        <f>_xlfn.XLOOKUP(Table124161167173198[[#This Row],[ACA Number]],Table122110[NAT Number],Table122110[TT race points])</f>
        <v>999.99</v>
      </c>
      <c r="AH7">
        <f>_xlfn.XLOOKUP(Table124161167173198[[#This Row],[ACA Number]],Table12211019[NAT Number],Table12211019[TT race points])</f>
        <v>999.99</v>
      </c>
      <c r="AI7">
        <f>_xlfn.XLOOKUP(Table124161167173198[[#This Row],[ACA Number]],Table12211019344052647688[NAT Number],Table12211019344052647688[TT race points])</f>
        <v>999.99</v>
      </c>
      <c r="AJ7" cm="1">
        <f t="array" ref="AJ7">_xlfn.LET(_xlpm.r,Table124161167173198[[#This Row],[PM SL1]:[MF SL]],_xlpm.m,_xlfn.AGGREGATE(15,6,_xlpm.r/(_xlpm.r&lt;&gt;999.99),1),IFERROR(_xlpm.m,999.99))</f>
        <v>999.99</v>
      </c>
      <c r="AK7" cm="1">
        <f t="array" ref="AK7">_xlfn.LET(_xlpm.r,Table124161167173198[[#This Row],[PM SL1]:[MF SL]],_xlpm.m,_xlfn.AGGREGATE(15,6,_xlpm.r/(_xlpm.r&lt;&gt;999.99),2),IFERROR(_xlpm.m,999.99))</f>
        <v>999.99</v>
      </c>
      <c r="AM7">
        <v>84474</v>
      </c>
      <c r="AN7" t="s">
        <v>814</v>
      </c>
      <c r="AO7" t="s">
        <v>810</v>
      </c>
      <c r="AP7">
        <f>_xlfn.XLOOKUP(Table125162168174199[[#This Row],[ACA Number]],Table122110193440526476[NAT Number],Table122110193440526476[TT race points])</f>
        <v>999.99</v>
      </c>
      <c r="AQ7">
        <f>_xlfn.XLOOKUP(Table125162168174199[[#This Row],[ACA Number]],Table122110193440526476112[NAT Number],Table122110193440526476112[TT race points])</f>
        <v>999.99</v>
      </c>
      <c r="AR7">
        <f>_xlfn.XLOOKUP(Table125162168174199[[#This Row],[ACA Number]],Table122110193440526476112118[NAT Number],Table122110193440526476112118[TT race points])</f>
        <v>0</v>
      </c>
      <c r="AS7" cm="1">
        <f t="array" ref="AS7">_xlfn.LET(_xlpm.r,Table125162168174199[[#This Row],[CM GS1]:[MF GS]],_xlpm.m,_xlfn.AGGREGATE(15,6,_xlpm.r/(_xlpm.r&lt;&gt;999.99),1),IFERROR(_xlpm.m,999.99))</f>
        <v>0</v>
      </c>
      <c r="AT7" cm="1">
        <f t="array" ref="AT7">_xlfn.LET(_xlpm.r,Table125162168174199[[#This Row],[CM GS1]:[MF GS]],_xlpm.m,_xlfn.AGGREGATE(15,6,_xlpm.r/(_xlpm.r&lt;&gt;999.99),2),IFERROR(_xlpm.m,999.99))</f>
        <v>999.99</v>
      </c>
      <c r="AV7">
        <v>84474</v>
      </c>
      <c r="AW7" t="s">
        <v>814</v>
      </c>
      <c r="AX7" t="s">
        <v>810</v>
      </c>
      <c r="AY7">
        <f>_xlfn.XLOOKUP(Table126163169175200[[#This Row],[ACA Number]],Table121158164170195[ACA Number],Table121158164170195[Best 1 run SL race])</f>
        <v>0</v>
      </c>
      <c r="AZ7">
        <f>_xlfn.XLOOKUP(Table126163169175200[[#This Row],[ACA Number]],Table123160166172197[ACA Number],Table123160166172197[Best 1 Run])</f>
        <v>0</v>
      </c>
      <c r="BA7">
        <f>_xlfn.XLOOKUP(Table126163169175200[[#This Row],[ACA Number]],Table122159165171196[ACA Number],Table122159165171196[Best 1 run GS Race])</f>
        <v>0</v>
      </c>
      <c r="BB7">
        <f>_xlfn.XLOOKUP(Table126163169175200[[#This Row],[ACA Number]],Table124161167173198[ACA Number],Table124161167173198[Best result],)</f>
        <v>999.99</v>
      </c>
      <c r="BC7">
        <f>_xlfn.XLOOKUP(Table126163169175200[[#This Row],[ACA Number]],Table124161167173198[ACA Number],Table124161167173198[2nd Best Result])</f>
        <v>999.99</v>
      </c>
      <c r="BD7">
        <f>_xlfn.XLOOKUP(Table126163169175200[[#This Row],[ACA Number]],Table125162168174199[ACA Number],Table125162168174199[Best result])</f>
        <v>0</v>
      </c>
      <c r="BE7">
        <f>_xlfn.XLOOKUP(Table126163169175200[[#This Row],[ACA Number]],Table125162168174199[ACA Number],Table125162168174199[2nd Best Result])</f>
        <v>999.99</v>
      </c>
      <c r="BF7">
        <f t="shared" si="0"/>
        <v>2999.9700000000003</v>
      </c>
      <c r="BG7">
        <f>_xlfn.RANK.EQ(Table126163169175200[[#This Row],[Total Points]],Table126163169175200[Total Points],1)</f>
        <v>5</v>
      </c>
    </row>
    <row r="8" spans="1:59" x14ac:dyDescent="0.3">
      <c r="A8">
        <v>104657</v>
      </c>
      <c r="B8" t="s">
        <v>815</v>
      </c>
      <c r="C8" t="s">
        <v>810</v>
      </c>
      <c r="D8">
        <f>_xlfn.XLOOKUP(Table121158164170195[[#This Row],[ACA Number]],Table122110[NAT Number],Table122110[run 1 points])</f>
        <v>125.22</v>
      </c>
      <c r="E8">
        <f>_xlfn.XLOOKUP(Table121158164170195[[#This Row],[ACA Number]],Table122110[NAT Number],Table122110[run 2 points])</f>
        <v>163.74</v>
      </c>
      <c r="F8">
        <f>_xlfn.XLOOKUP(Table121158164170195[[#This Row],[ACA Number]],Table12211019[NAT Number],Table12211019[run 2 points])</f>
        <v>141.94999999999999</v>
      </c>
      <c r="G8">
        <f>_xlfn.XLOOKUP(Table121158164170195[[#This Row],[ACA Number]],Table12211019[NAT Number],Table12211019[run 2 points])</f>
        <v>141.94999999999999</v>
      </c>
      <c r="H8">
        <f>_xlfn.XLOOKUP(Table121158164170195[[#This Row],[ACA Number]],Table12211019344052647688[NAT Number],Table12211019344052647688[run 1 points])</f>
        <v>999.99</v>
      </c>
      <c r="I8">
        <f>_xlfn.XLOOKUP(Table121158164170195[[#This Row],[ACA Number]],Table12211019344052647688[NAT Number],Table12211019344052647688[run 2 points])</f>
        <v>93.58</v>
      </c>
      <c r="J8" cm="1">
        <f t="array" ref="J8">_xlfn.LET(_xlpm.r,Table121158164170195[[#This Row],[PM SL1 R1]:[MF SL1 R2]],_xlpm.m,_xlfn.AGGREGATE(15,6,_xlpm.r/(_xlpm.r&lt;&gt;999.99),1),IFERROR(_xlpm.m,999.99))</f>
        <v>93.58</v>
      </c>
      <c r="L8">
        <v>104657</v>
      </c>
      <c r="M8" t="s">
        <v>815</v>
      </c>
      <c r="N8" t="s">
        <v>810</v>
      </c>
      <c r="O8">
        <f>_xlfn.XLOOKUP(Table122159165171196[[#This Row],[ACA Number]],Table127163191[NAT Number],Table127163191[run 1 points])</f>
        <v>135.11000000000001</v>
      </c>
      <c r="P8">
        <f>_xlfn.XLOOKUP(Table122159165171196[[#This Row],[ACA Number]],Table122110193494[NAT Number],Table122110193494[run 1 points])</f>
        <v>999.99</v>
      </c>
      <c r="Q8" cm="1">
        <f t="array" ref="Q8">_xlfn.LET(_xlpm.r,Table122159165171196[[#This Row],[CM SG R1]:[CM SG R2]],_xlpm.m,_xlfn.AGGREGATE(15,6,_xlpm.r/(_xlpm.r&lt;&gt;999.99),1),IFERROR(_xlpm.m,999.99))</f>
        <v>135.11000000000001</v>
      </c>
      <c r="S8">
        <v>104657</v>
      </c>
      <c r="T8" t="s">
        <v>815</v>
      </c>
      <c r="U8" t="s">
        <v>810</v>
      </c>
      <c r="V8">
        <f>_xlfn.XLOOKUP(Table123160166172197[[#This Row],[ACA Number]],Table122110193440526476[NAT Number],Table122110193440526476[run 1 points])</f>
        <v>88.69</v>
      </c>
      <c r="W8">
        <f>_xlfn.XLOOKUP(Table123160166172197[[#This Row],[ACA Number]],Table122110193440526476[NAT Number],Table122110193440526476[run 2 points])</f>
        <v>84.18</v>
      </c>
      <c r="X8">
        <f>_xlfn.XLOOKUP(Table123160166172197[[#This Row],[ACA Number]],Table122110193440526476112[NAT Number],Table122110193440526476112[run 1 points])</f>
        <v>102.7</v>
      </c>
      <c r="Y8">
        <f>_xlfn.XLOOKUP(Table123160166172197[[#This Row],[ACA Number]],Table122110193440526476112[NAT Number],Table122110193440526476112[run 2 points])</f>
        <v>101.94</v>
      </c>
      <c r="Z8">
        <f>_xlfn.XLOOKUP(Table123160166172197[[#This Row],[ACA Number]],Table122110193440526476112118[NAT Number],Table122110193440526476112118[run 1 points])</f>
        <v>999.99</v>
      </c>
      <c r="AA8">
        <f>_xlfn.XLOOKUP(Table123160166172197[[#This Row],[ACA Number]],Table122110193440526476112118[NAT Number],Table122110193440526476112118[run 2 points])</f>
        <v>73.900000000000006</v>
      </c>
      <c r="AB8" cm="1">
        <f t="array" ref="AB8">_xlfn.LET(_xlpm.r,Table123160166172197[[#This Row],[CM GS1 R1]:[MF GS R2]],_xlpm.m,_xlfn.AGGREGATE(15,6,_xlpm.r/(_xlpm.r&lt;&gt;999.99),1),IFERROR(_xlpm.m,999.99))</f>
        <v>73.900000000000006</v>
      </c>
      <c r="AD8">
        <v>104657</v>
      </c>
      <c r="AE8" t="s">
        <v>815</v>
      </c>
      <c r="AF8" t="s">
        <v>810</v>
      </c>
      <c r="AG8">
        <f>_xlfn.XLOOKUP(Table124161167173198[[#This Row],[ACA Number]],Table122110[NAT Number],Table122110[TT race points])</f>
        <v>132.83000000000001</v>
      </c>
      <c r="AH8">
        <f>_xlfn.XLOOKUP(Table124161167173198[[#This Row],[ACA Number]],Table12211019[NAT Number],Table12211019[TT race points])</f>
        <v>108.36</v>
      </c>
      <c r="AI8">
        <f>_xlfn.XLOOKUP(Table124161167173198[[#This Row],[ACA Number]],Table12211019344052647688[NAT Number],Table12211019344052647688[TT race points])</f>
        <v>999.99</v>
      </c>
      <c r="AJ8" cm="1">
        <f t="array" ref="AJ8">_xlfn.LET(_xlpm.r,Table124161167173198[[#This Row],[PM SL1]:[MF SL]],_xlpm.m,_xlfn.AGGREGATE(15,6,_xlpm.r/(_xlpm.r&lt;&gt;999.99),1),IFERROR(_xlpm.m,999.99))</f>
        <v>108.36</v>
      </c>
      <c r="AK8" cm="1">
        <f t="array" ref="AK8">_xlfn.LET(_xlpm.r,Table124161167173198[[#This Row],[PM SL1]:[MF SL]],_xlpm.m,_xlfn.AGGREGATE(15,6,_xlpm.r/(_xlpm.r&lt;&gt;999.99),2),IFERROR(_xlpm.m,999.99))</f>
        <v>132.83000000000001</v>
      </c>
      <c r="AM8">
        <v>104657</v>
      </c>
      <c r="AN8" t="s">
        <v>815</v>
      </c>
      <c r="AO8" t="s">
        <v>810</v>
      </c>
      <c r="AP8">
        <f>_xlfn.XLOOKUP(Table125162168174199[[#This Row],[ACA Number]],Table122110193440526476[NAT Number],Table122110193440526476[TT race points])</f>
        <v>85.37</v>
      </c>
      <c r="AQ8">
        <f>_xlfn.XLOOKUP(Table125162168174199[[#This Row],[ACA Number]],Table122110193440526476112[NAT Number],Table122110193440526476112[TT race points])</f>
        <v>97.09</v>
      </c>
      <c r="AR8">
        <f>_xlfn.XLOOKUP(Table125162168174199[[#This Row],[ACA Number]],Table122110193440526476112118[NAT Number],Table122110193440526476112118[TT race points])</f>
        <v>999.99</v>
      </c>
      <c r="AS8" cm="1">
        <f t="array" ref="AS8">_xlfn.LET(_xlpm.r,Table125162168174199[[#This Row],[CM GS1]:[MF GS]],_xlpm.m,_xlfn.AGGREGATE(15,6,_xlpm.r/(_xlpm.r&lt;&gt;999.99),1),IFERROR(_xlpm.m,999.99))</f>
        <v>85.37</v>
      </c>
      <c r="AT8" cm="1">
        <f t="array" ref="AT8">_xlfn.LET(_xlpm.r,Table125162168174199[[#This Row],[CM GS1]:[MF GS]],_xlpm.m,_xlfn.AGGREGATE(15,6,_xlpm.r/(_xlpm.r&lt;&gt;999.99),2),IFERROR(_xlpm.m,999.99))</f>
        <v>97.09</v>
      </c>
      <c r="AV8">
        <v>84268</v>
      </c>
      <c r="AW8" t="s">
        <v>811</v>
      </c>
      <c r="AX8" t="s">
        <v>810</v>
      </c>
      <c r="AY8">
        <f>_xlfn.XLOOKUP(Table126163169175200[[#This Row],[ACA Number]],Table121158164170195[ACA Number],Table121158164170195[Best 1 run SL race])</f>
        <v>999.99</v>
      </c>
      <c r="AZ8">
        <f>_xlfn.XLOOKUP(Table126163169175200[[#This Row],[ACA Number]],Table123160166172197[ACA Number],Table123160166172197[Best 1 Run])</f>
        <v>999.99</v>
      </c>
      <c r="BA8">
        <f>_xlfn.XLOOKUP(Table126163169175200[[#This Row],[ACA Number]],Table122159165171196[ACA Number],Table122159165171196[Best 1 run GS Race])</f>
        <v>999.99</v>
      </c>
      <c r="BB8">
        <f>_xlfn.XLOOKUP(Table126163169175200[[#This Row],[ACA Number]],Table124161167173198[ACA Number],Table124161167173198[Best result],)</f>
        <v>999.99</v>
      </c>
      <c r="BC8">
        <f>_xlfn.XLOOKUP(Table126163169175200[[#This Row],[ACA Number]],Table124161167173198[ACA Number],Table124161167173198[2nd Best Result])</f>
        <v>999.99</v>
      </c>
      <c r="BD8">
        <f>_xlfn.XLOOKUP(Table126163169175200[[#This Row],[ACA Number]],Table125162168174199[ACA Number],Table125162168174199[Best result])</f>
        <v>999.99</v>
      </c>
      <c r="BE8">
        <f>_xlfn.XLOOKUP(Table126163169175200[[#This Row],[ACA Number]],Table125162168174199[ACA Number],Table125162168174199[2nd Best Result])</f>
        <v>999.99</v>
      </c>
      <c r="BF8">
        <f t="shared" si="0"/>
        <v>6999.9299999999994</v>
      </c>
      <c r="BG8">
        <f>_xlfn.RANK.EQ(Table126163169175200[[#This Row],[Total Points]],Table126163169175200[Total Points],1)</f>
        <v>6</v>
      </c>
    </row>
  </sheetData>
  <mergeCells count="6">
    <mergeCell ref="AY1:BG1"/>
    <mergeCell ref="D1:J1"/>
    <mergeCell ref="O1:Q1"/>
    <mergeCell ref="V1:AB1"/>
    <mergeCell ref="AG1:AK1"/>
    <mergeCell ref="AP1:AT1"/>
  </mergeCells>
  <pageMargins left="0.7" right="0.7" top="0.75" bottom="0.75" header="0.3" footer="0.3"/>
  <tableParts count="6">
    <tablePart r:id="rId1"/>
    <tablePart r:id="rId2"/>
    <tablePart r:id="rId3"/>
    <tablePart r:id="rId4"/>
    <tablePart r:id="rId5"/>
    <tablePart r:id="rId6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F6CCFD-900B-48B8-8C86-6BBCDAAE2A73}">
  <dimension ref="A1:AQ58"/>
  <sheetViews>
    <sheetView topLeftCell="U1" workbookViewId="0">
      <selection activeCell="AH8" sqref="AH8"/>
    </sheetView>
  </sheetViews>
  <sheetFormatPr defaultRowHeight="14.4" x14ac:dyDescent="0.3"/>
  <cols>
    <col min="1" max="1" width="13.5546875" customWidth="1"/>
    <col min="3" max="3" width="12.109375" customWidth="1"/>
    <col min="5" max="5" width="14.88671875" bestFit="1" customWidth="1"/>
    <col min="6" max="6" width="12.5546875" customWidth="1"/>
    <col min="7" max="7" width="15.21875" customWidth="1"/>
    <col min="8" max="8" width="17.6640625" customWidth="1"/>
    <col min="9" max="9" width="16.44140625" customWidth="1"/>
    <col min="10" max="10" width="12.21875" customWidth="1"/>
    <col min="11" max="11" width="13.109375" customWidth="1"/>
    <col min="12" max="12" width="11.6640625" customWidth="1"/>
    <col min="13" max="13" width="12.109375" customWidth="1"/>
    <col min="14" max="14" width="11.33203125" customWidth="1"/>
    <col min="15" max="15" width="12.109375" customWidth="1"/>
    <col min="16" max="16" width="10.33203125" customWidth="1"/>
    <col min="17" max="17" width="13.88671875" customWidth="1"/>
    <col min="19" max="19" width="14.5546875" customWidth="1"/>
    <col min="20" max="20" width="15.5546875" customWidth="1"/>
    <col min="21" max="21" width="18.5546875" customWidth="1"/>
  </cols>
  <sheetData>
    <row r="1" spans="1:43" ht="21" x14ac:dyDescent="0.4">
      <c r="A1" s="8" t="s">
        <v>491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W1" s="8" t="s">
        <v>492</v>
      </c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</row>
    <row r="2" spans="1:43" x14ac:dyDescent="0.3">
      <c r="A2" t="s">
        <v>459</v>
      </c>
      <c r="B2" t="s">
        <v>460</v>
      </c>
      <c r="C2" t="s">
        <v>461</v>
      </c>
      <c r="D2" t="s">
        <v>462</v>
      </c>
      <c r="E2" t="s">
        <v>463</v>
      </c>
      <c r="F2" t="s">
        <v>464</v>
      </c>
      <c r="G2" t="s">
        <v>465</v>
      </c>
      <c r="H2" t="s">
        <v>466</v>
      </c>
      <c r="I2" t="s">
        <v>467</v>
      </c>
      <c r="J2" t="s">
        <v>468</v>
      </c>
      <c r="K2" t="s">
        <v>469</v>
      </c>
      <c r="L2" t="s">
        <v>470</v>
      </c>
      <c r="M2" t="s">
        <v>471</v>
      </c>
      <c r="N2" t="s">
        <v>472</v>
      </c>
      <c r="O2" t="s">
        <v>473</v>
      </c>
      <c r="P2" t="s">
        <v>474</v>
      </c>
      <c r="Q2" t="s">
        <v>475</v>
      </c>
      <c r="S2" t="s">
        <v>476</v>
      </c>
      <c r="T2" t="s">
        <v>477</v>
      </c>
      <c r="U2" t="s">
        <v>478</v>
      </c>
      <c r="W2" t="s">
        <v>459</v>
      </c>
      <c r="X2" t="s">
        <v>460</v>
      </c>
      <c r="Y2" t="s">
        <v>461</v>
      </c>
      <c r="Z2" t="s">
        <v>462</v>
      </c>
      <c r="AA2" t="s">
        <v>463</v>
      </c>
      <c r="AB2" t="s">
        <v>464</v>
      </c>
      <c r="AC2" t="s">
        <v>465</v>
      </c>
      <c r="AD2" t="s">
        <v>466</v>
      </c>
      <c r="AE2" t="s">
        <v>467</v>
      </c>
      <c r="AF2" t="s">
        <v>468</v>
      </c>
      <c r="AG2" t="s">
        <v>469</v>
      </c>
      <c r="AH2" t="s">
        <v>470</v>
      </c>
      <c r="AI2" t="s">
        <v>471</v>
      </c>
      <c r="AJ2" t="s">
        <v>472</v>
      </c>
      <c r="AK2" t="s">
        <v>473</v>
      </c>
      <c r="AL2" t="s">
        <v>474</v>
      </c>
      <c r="AM2" t="s">
        <v>475</v>
      </c>
      <c r="AO2" t="s">
        <v>476</v>
      </c>
      <c r="AP2" t="s">
        <v>477</v>
      </c>
      <c r="AQ2" t="s">
        <v>478</v>
      </c>
    </row>
    <row r="3" spans="1:43" x14ac:dyDescent="0.3">
      <c r="A3">
        <v>24</v>
      </c>
      <c r="B3">
        <v>24</v>
      </c>
      <c r="C3" t="s">
        <v>24</v>
      </c>
      <c r="D3" t="s">
        <v>522</v>
      </c>
      <c r="E3" t="s">
        <v>525</v>
      </c>
      <c r="F3">
        <v>2012</v>
      </c>
      <c r="G3" s="1">
        <v>48.85</v>
      </c>
      <c r="H3" s="1">
        <v>52.42</v>
      </c>
      <c r="I3" s="1">
        <v>1.1721064814814817E-3</v>
      </c>
      <c r="K3">
        <v>93740</v>
      </c>
      <c r="L3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5.6539351851851857E-4</v>
      </c>
      <c r="M3" s="3">
        <f>IF(Table12[[#This Row],[run 1 times]]="",999.99,IF(Table12[[#This Row],[run 1 times]]=$S$3,0,MAX(0,ROUND(((Table12[[#This Row],[run 1 times]]-$S$3)/$S$3)*$S$6,2))))</f>
        <v>19.010000000000002</v>
      </c>
      <c r="N3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6.0671296296296298E-4</v>
      </c>
      <c r="O3" s="3">
        <f>IF(Table12[[#This Row],[run2 times]]="",999.99,IF(Table12[[#This Row],[run2 times]]=$T$3,0,MAX(0,ROUND(((Table12[[#This Row],[run2 times]]-$T$3)/$T$3)*$S$6,2))))</f>
        <v>31.37</v>
      </c>
      <c r="P3" s="2">
        <f>IF(OR(Table12[[#This Row],[run 1 times]]="",Table12[[#This Row],[run2 times]]=""),"",Table12[[#This Row],[run 1 times]]+Table12[[#This Row],[run2 times]])</f>
        <v>1.1721064814814814E-3</v>
      </c>
      <c r="Q3" s="3">
        <f>IF(Table12[[#This Row],[total time]]="",999.99,IF(Table12[[#This Row],[total time]]=$U$3,0,MAX(0,ROUND(((Table12[[#This Row],[total time]]-$U$3)/$U$3)*$S$6,2))))</f>
        <v>24.59</v>
      </c>
      <c r="S3" s="1">
        <f>MIN(Table12[run 1 times])</f>
        <v>5.5104166666666669E-4</v>
      </c>
      <c r="T3" s="1">
        <f>MIN(Table12[run2 times])</f>
        <v>5.8171296296296291E-4</v>
      </c>
      <c r="U3" s="1">
        <f>MIN(Table12[total time])</f>
        <v>1.133912037037037E-3</v>
      </c>
      <c r="W3">
        <v>1</v>
      </c>
      <c r="X3">
        <v>60</v>
      </c>
      <c r="Y3" t="s">
        <v>373</v>
      </c>
      <c r="Z3" t="s">
        <v>547</v>
      </c>
      <c r="AA3" t="s">
        <v>548</v>
      </c>
      <c r="AB3">
        <v>2011</v>
      </c>
      <c r="AC3" s="1">
        <v>48.69</v>
      </c>
      <c r="AD3" s="1">
        <v>48.04</v>
      </c>
      <c r="AE3" s="1">
        <v>1.119560185185185E-3</v>
      </c>
      <c r="AG3">
        <v>94824</v>
      </c>
      <c r="AH3" s="2">
        <f>_xlfn.LET(_xlpm.x,Table1221[[#This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5.6354166666666662E-4</v>
      </c>
      <c r="AI3" s="3">
        <f>IF(Table1221[[#This Row],[run 1 times]]="",999.99,IF(Table1221[[#This Row],[run 1 times]]=$AO$3,0,MAX(0,ROUND(((Table1221[[#This Row],[run 1 times]]-$AO$3)/$AO$3)*$AO$6,2))))</f>
        <v>82.98</v>
      </c>
      <c r="AJ3" s="2">
        <f>_xlfn.LET(_xlpm.x,Table1221[[#This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5.5601851851851852E-4</v>
      </c>
      <c r="AK3" s="3">
        <f>IF(Table1221[[#This Row],[run2 times]]="",999.99,IF(Table1221[[#This Row],[run2 times]]=$AP$3,0,MAX(0,ROUND(((Table1221[[#This Row],[run2 times]]-$AP$3)/$AP$3)*$AO$6,2))))</f>
        <v>104.38</v>
      </c>
      <c r="AL3" s="2">
        <f>IF(OR(Table1221[[#This Row],[run 1 times]]="",Table1221[[#This Row],[run2 times]]=""),"",Table1221[[#This Row],[run 1 times]]+Table1221[[#This Row],[run2 times]])</f>
        <v>1.1195601851851852E-3</v>
      </c>
      <c r="AM3" s="3">
        <f>IF(Table1221[[#This Row],[total time]]="",999.99,IF(Table1221[[#This Row],[total time]]=$AQ$3,0,MAX(0,ROUND(((Table1221[[#This Row],[total time]]-$AQ$3)/$AQ$3)*$AO$6,2))))</f>
        <v>93.47</v>
      </c>
      <c r="AO3" s="1">
        <f>MIN(Table1221[run 1 times])</f>
        <v>5.0601851851851849E-4</v>
      </c>
      <c r="AP3" s="1">
        <f>MIN(Table1221[run2 times])</f>
        <v>4.8645833333333337E-4</v>
      </c>
      <c r="AQ3" s="1">
        <f>MIN(Table1221[total time])</f>
        <v>9.9247685185185181E-4</v>
      </c>
    </row>
    <row r="4" spans="1:43" x14ac:dyDescent="0.3">
      <c r="A4">
        <v>23</v>
      </c>
      <c r="B4">
        <v>23</v>
      </c>
      <c r="C4" t="s">
        <v>24</v>
      </c>
      <c r="D4" t="s">
        <v>522</v>
      </c>
      <c r="E4" t="s">
        <v>524</v>
      </c>
      <c r="F4">
        <v>2012</v>
      </c>
      <c r="G4" s="1">
        <v>47.61</v>
      </c>
      <c r="H4" s="1">
        <v>51.31</v>
      </c>
      <c r="I4" s="1">
        <v>1.1449074074074074E-3</v>
      </c>
      <c r="K4">
        <v>93755</v>
      </c>
      <c r="L4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5.5104166666666669E-4</v>
      </c>
      <c r="M4" s="3">
        <f>IF(Table12[[#This Row],[run 1 times]]="",999.99,IF(Table12[[#This Row],[run 1 times]]=$S$3,0,MAX(0,ROUND(((Table12[[#This Row],[run 1 times]]-$S$3)/$S$3)*$S$6,2))))</f>
        <v>0</v>
      </c>
      <c r="N4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5.9386574074074073E-4</v>
      </c>
      <c r="O4" s="3">
        <f>IF(Table12[[#This Row],[run2 times]]="",999.99,IF(Table12[[#This Row],[run2 times]]=$T$3,0,MAX(0,ROUND(((Table12[[#This Row],[run2 times]]-$T$3)/$T$3)*$S$6,2))))</f>
        <v>15.25</v>
      </c>
      <c r="P4" s="2">
        <f>IF(OR(Table12[[#This Row],[run 1 times]]="",Table12[[#This Row],[run2 times]]=""),"",Table12[[#This Row],[run 1 times]]+Table12[[#This Row],[run2 times]])</f>
        <v>1.1449074074074074E-3</v>
      </c>
      <c r="Q4" s="3">
        <f>IF(Table12[[#This Row],[total time]]="",999.99,IF(Table12[[#This Row],[total time]]=$U$3,0,MAX(0,ROUND(((Table12[[#This Row],[total time]]-$U$3)/$U$3)*$S$6,2))))</f>
        <v>7.08</v>
      </c>
      <c r="W4">
        <v>2</v>
      </c>
      <c r="X4">
        <v>61</v>
      </c>
      <c r="Y4" t="s">
        <v>479</v>
      </c>
      <c r="Z4" t="s">
        <v>547</v>
      </c>
      <c r="AA4" t="s">
        <v>549</v>
      </c>
      <c r="AB4">
        <v>2011</v>
      </c>
      <c r="AC4" s="1">
        <v>48.18</v>
      </c>
      <c r="AD4" s="1">
        <v>48.37</v>
      </c>
      <c r="AE4" s="1">
        <v>1.1174768518518519E-3</v>
      </c>
      <c r="AG4">
        <v>89879</v>
      </c>
      <c r="AH4" s="2">
        <f>_xlfn.LET(_xlpm.x,Table1221[[#This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5.5763888888888888E-4</v>
      </c>
      <c r="AI4" s="3">
        <f>IF(Table1221[[#This Row],[run 1 times]]="",999.99,IF(Table1221[[#This Row],[run 1 times]]=$AO$3,0,MAX(0,ROUND(((Table1221[[#This Row],[run 1 times]]-$AO$3)/$AO$3)*$AO$6,2))))</f>
        <v>74.47</v>
      </c>
      <c r="AJ4" s="2">
        <f>_xlfn.LET(_xlpm.x,Table1221[[#This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5.5983796296296294E-4</v>
      </c>
      <c r="AK4" s="3">
        <f>IF(Table1221[[#This Row],[run2 times]]="",999.99,IF(Table1221[[#This Row],[run2 times]]=$AP$3,0,MAX(0,ROUND(((Table1221[[#This Row],[run2 times]]-$AP$3)/$AP$3)*$AO$6,2))))</f>
        <v>110.12</v>
      </c>
      <c r="AL4" s="2">
        <f>IF(OR(Table1221[[#This Row],[run 1 times]]="",Table1221[[#This Row],[run2 times]]=""),"",Table1221[[#This Row],[run 1 times]]+Table1221[[#This Row],[run2 times]])</f>
        <v>1.1174768518518517E-3</v>
      </c>
      <c r="AM4" s="3">
        <f>IF(Table1221[[#This Row],[total time]]="",999.99,IF(Table1221[[#This Row],[total time]]=$AQ$3,0,MAX(0,ROUND(((Table1221[[#This Row],[total time]]-$AQ$3)/$AQ$3)*$AO$6,2))))</f>
        <v>91.94</v>
      </c>
    </row>
    <row r="5" spans="1:43" x14ac:dyDescent="0.3">
      <c r="A5">
        <v>18</v>
      </c>
      <c r="B5">
        <v>18</v>
      </c>
      <c r="C5" t="s">
        <v>24</v>
      </c>
      <c r="D5" t="s">
        <v>522</v>
      </c>
      <c r="E5" t="s">
        <v>527</v>
      </c>
      <c r="F5">
        <v>2012</v>
      </c>
      <c r="G5" s="1">
        <v>50.57</v>
      </c>
      <c r="H5" s="1">
        <v>56.65</v>
      </c>
      <c r="I5" s="1">
        <v>1.2409722222222223E-3</v>
      </c>
      <c r="K5">
        <v>93762</v>
      </c>
      <c r="L5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5.8530092592592596E-4</v>
      </c>
      <c r="M5" s="3">
        <f>IF(Table12[[#This Row],[run 1 times]]="",999.99,IF(Table12[[#This Row],[run 1 times]]=$S$3,0,MAX(0,ROUND(((Table12[[#This Row],[run 1 times]]-$S$3)/$S$3)*$S$6,2))))</f>
        <v>45.39</v>
      </c>
      <c r="N5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6.5567129629629623E-4</v>
      </c>
      <c r="O5" s="3">
        <f>IF(Table12[[#This Row],[run2 times]]="",999.99,IF(Table12[[#This Row],[run2 times]]=$T$3,0,MAX(0,ROUND(((Table12[[#This Row],[run2 times]]-$T$3)/$T$3)*$S$6,2))))</f>
        <v>92.81</v>
      </c>
      <c r="P5" s="2">
        <f>IF(OR(Table12[[#This Row],[run 1 times]]="",Table12[[#This Row],[run2 times]]=""),"",Table12[[#This Row],[run 1 times]]+Table12[[#This Row],[run2 times]])</f>
        <v>1.2409722222222223E-3</v>
      </c>
      <c r="Q5" s="3">
        <f>IF(Table12[[#This Row],[total time]]="",999.99,IF(Table12[[#This Row],[total time]]=$U$3,0,MAX(0,ROUND(((Table12[[#This Row],[total time]]-$U$3)/$U$3)*$S$6,2))))</f>
        <v>68.92</v>
      </c>
      <c r="S5" t="s">
        <v>484</v>
      </c>
      <c r="T5" t="s">
        <v>485</v>
      </c>
      <c r="U5" t="s">
        <v>486</v>
      </c>
      <c r="W5">
        <v>3</v>
      </c>
      <c r="X5">
        <v>62</v>
      </c>
      <c r="Y5" t="s">
        <v>373</v>
      </c>
      <c r="Z5" t="s">
        <v>547</v>
      </c>
      <c r="AA5" t="s">
        <v>550</v>
      </c>
      <c r="AB5">
        <v>2010</v>
      </c>
      <c r="AC5" s="1">
        <v>51.86</v>
      </c>
      <c r="AD5" s="1">
        <v>52.93</v>
      </c>
      <c r="AE5" s="1">
        <v>1.2128472222222221E-3</v>
      </c>
      <c r="AG5">
        <v>102764</v>
      </c>
      <c r="AH5" s="2">
        <f>_xlfn.LET(_xlpm.x,Table1221[[#This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6.0023148148148143E-4</v>
      </c>
      <c r="AI5" s="3">
        <f>IF(Table1221[[#This Row],[run 1 times]]="",999.99,IF(Table1221[[#This Row],[run 1 times]]=$AO$3,0,MAX(0,ROUND(((Table1221[[#This Row],[run 1 times]]-$AO$3)/$AO$3)*$AO$6,2))))</f>
        <v>135.91</v>
      </c>
      <c r="AJ5" s="2">
        <f>_xlfn.LET(_xlpm.x,Table1221[[#This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6.1261574074074072E-4</v>
      </c>
      <c r="AK5" s="3">
        <f>IF(Table1221[[#This Row],[run2 times]]="",999.99,IF(Table1221[[#This Row],[run2 times]]=$AP$3,0,MAX(0,ROUND(((Table1221[[#This Row],[run2 times]]-$AP$3)/$AP$3)*$AO$6,2))))</f>
        <v>189.32</v>
      </c>
      <c r="AL5" s="2">
        <f>IF(OR(Table1221[[#This Row],[run 1 times]]="",Table1221[[#This Row],[run2 times]]=""),"",Table1221[[#This Row],[run 1 times]]+Table1221[[#This Row],[run2 times]])</f>
        <v>1.2128472222222221E-3</v>
      </c>
      <c r="AM5" s="3">
        <f>IF(Table1221[[#This Row],[total time]]="",999.99,IF(Table1221[[#This Row],[total time]]=$AQ$3,0,MAX(0,ROUND(((Table1221[[#This Row],[total time]]-$AQ$3)/$AQ$3)*$AO$6,2))))</f>
        <v>162.09</v>
      </c>
      <c r="AO5" t="s">
        <v>484</v>
      </c>
      <c r="AP5" t="s">
        <v>485</v>
      </c>
      <c r="AQ5" t="s">
        <v>486</v>
      </c>
    </row>
    <row r="6" spans="1:43" x14ac:dyDescent="0.3">
      <c r="A6">
        <v>50</v>
      </c>
      <c r="B6">
        <v>50</v>
      </c>
      <c r="C6" t="s">
        <v>24</v>
      </c>
      <c r="D6" t="s">
        <v>522</v>
      </c>
      <c r="E6" t="s">
        <v>529</v>
      </c>
      <c r="F6">
        <v>2013</v>
      </c>
      <c r="G6" s="1">
        <v>53.61</v>
      </c>
      <c r="H6" s="1">
        <v>54.85</v>
      </c>
      <c r="I6" s="1">
        <v>1.2553240740740741E-3</v>
      </c>
      <c r="K6">
        <v>93764</v>
      </c>
      <c r="L6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6.2048611111111115E-4</v>
      </c>
      <c r="M6" s="3">
        <f>IF(Table12[[#This Row],[run 1 times]]="",999.99,IF(Table12[[#This Row],[run 1 times]]=$S$3,0,MAX(0,ROUND(((Table12[[#This Row],[run 1 times]]-$S$3)/$S$3)*$S$6,2))))</f>
        <v>92</v>
      </c>
      <c r="N6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6.3483796296296302E-4</v>
      </c>
      <c r="O6" s="3">
        <f>IF(Table12[[#This Row],[run2 times]]="",999.99,IF(Table12[[#This Row],[run2 times]]=$T$3,0,MAX(0,ROUND(((Table12[[#This Row],[run2 times]]-$T$3)/$T$3)*$S$6,2))))</f>
        <v>66.67</v>
      </c>
      <c r="P6" s="2">
        <f>IF(OR(Table12[[#This Row],[run 1 times]]="",Table12[[#This Row],[run2 times]]=""),"",Table12[[#This Row],[run 1 times]]+Table12[[#This Row],[run2 times]])</f>
        <v>1.2553240740740741E-3</v>
      </c>
      <c r="Q6" s="3">
        <f>IF(Table12[[#This Row],[total time]]="",999.99,IF(Table12[[#This Row],[total time]]=$U$3,0,MAX(0,ROUND(((Table12[[#This Row],[total time]]-$U$3)/$U$3)*$S$6,2))))</f>
        <v>78.16</v>
      </c>
      <c r="S6">
        <v>730</v>
      </c>
      <c r="T6">
        <v>1010</v>
      </c>
      <c r="U6">
        <v>1190</v>
      </c>
      <c r="W6">
        <v>4</v>
      </c>
      <c r="X6">
        <v>63</v>
      </c>
      <c r="Y6" t="s">
        <v>479</v>
      </c>
      <c r="Z6" t="s">
        <v>547</v>
      </c>
      <c r="AA6" t="s">
        <v>551</v>
      </c>
      <c r="AB6">
        <v>2010</v>
      </c>
      <c r="AC6" s="1" t="s">
        <v>512</v>
      </c>
      <c r="AD6" s="1">
        <v>42.85</v>
      </c>
      <c r="AE6" s="1"/>
      <c r="AG6">
        <v>89878</v>
      </c>
      <c r="AH6" s="2" t="str">
        <f>_xlfn.LET(_xlpm.x,Table1221[[#This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6" s="3">
        <f>IF(Table1221[[#This Row],[run 1 times]]="",999.99,IF(Table1221[[#This Row],[run 1 times]]=$AO$3,0,MAX(0,ROUND(((Table1221[[#This Row],[run 1 times]]-$AO$3)/$AO$3)*$AO$6,2))))</f>
        <v>999.99</v>
      </c>
      <c r="AJ6" s="2">
        <f>_xlfn.LET(_xlpm.x,Table1221[[#This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4.9594907407407411E-4</v>
      </c>
      <c r="AK6" s="3">
        <f>IF(Table1221[[#This Row],[run2 times]]="",999.99,IF(Table1221[[#This Row],[run2 times]]=$AP$3,0,MAX(0,ROUND(((Table1221[[#This Row],[run2 times]]-$AP$3)/$AP$3)*$AO$6,2))))</f>
        <v>14.24</v>
      </c>
      <c r="AL6" s="2" t="str">
        <f>IF(OR(Table1221[[#This Row],[run 1 times]]="",Table1221[[#This Row],[run2 times]]=""),"",Table1221[[#This Row],[run 1 times]]+Table1221[[#This Row],[run2 times]])</f>
        <v/>
      </c>
      <c r="AM6" s="3">
        <f>IF(Table1221[[#This Row],[total time]]="",999.99,IF(Table1221[[#This Row],[total time]]=$AQ$3,0,MAX(0,ROUND(((Table1221[[#This Row],[total time]]-$AQ$3)/$AQ$3)*$AO$6,2))))</f>
        <v>999.99</v>
      </c>
      <c r="AO6">
        <v>730</v>
      </c>
      <c r="AP6">
        <v>1010</v>
      </c>
      <c r="AQ6">
        <v>1190</v>
      </c>
    </row>
    <row r="7" spans="1:43" x14ac:dyDescent="0.3">
      <c r="A7">
        <v>2</v>
      </c>
      <c r="B7">
        <v>2</v>
      </c>
      <c r="C7" t="s">
        <v>479</v>
      </c>
      <c r="D7" t="s">
        <v>522</v>
      </c>
      <c r="E7" t="s">
        <v>523</v>
      </c>
      <c r="F7">
        <v>2012</v>
      </c>
      <c r="G7" s="1">
        <v>47.71</v>
      </c>
      <c r="H7" s="1">
        <v>50.26</v>
      </c>
      <c r="I7" s="1">
        <v>1.133912037037037E-3</v>
      </c>
      <c r="K7">
        <v>94923</v>
      </c>
      <c r="L7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5.5219907407407409E-4</v>
      </c>
      <c r="M7" s="3">
        <f>IF(Table12[[#This Row],[run 1 times]]="",999.99,IF(Table12[[#This Row],[run 1 times]]=$S$3,0,MAX(0,ROUND(((Table12[[#This Row],[run 1 times]]-$S$3)/$S$3)*$S$6,2))))</f>
        <v>1.53</v>
      </c>
      <c r="N7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5.8171296296296291E-4</v>
      </c>
      <c r="O7" s="3">
        <f>IF(Table12[[#This Row],[run2 times]]="",999.99,IF(Table12[[#This Row],[run2 times]]=$T$3,0,MAX(0,ROUND(((Table12[[#This Row],[run2 times]]-$T$3)/$T$3)*$S$6,2))))</f>
        <v>0</v>
      </c>
      <c r="P7" s="2">
        <f>IF(OR(Table12[[#This Row],[run 1 times]]="",Table12[[#This Row],[run2 times]]=""),"",Table12[[#This Row],[run 1 times]]+Table12[[#This Row],[run2 times]])</f>
        <v>1.133912037037037E-3</v>
      </c>
      <c r="Q7" s="3">
        <f>IF(Table12[[#This Row],[total time]]="",999.99,IF(Table12[[#This Row],[total time]]=$U$3,0,MAX(0,ROUND(((Table12[[#This Row],[total time]]-$U$3)/$U$3)*$S$6,2))))</f>
        <v>0</v>
      </c>
      <c r="W7">
        <v>5</v>
      </c>
      <c r="X7">
        <v>64</v>
      </c>
      <c r="Y7" t="s">
        <v>479</v>
      </c>
      <c r="Z7" t="s">
        <v>552</v>
      </c>
      <c r="AA7" t="s">
        <v>553</v>
      </c>
      <c r="AB7">
        <v>2009</v>
      </c>
      <c r="AC7" s="1">
        <v>45.25</v>
      </c>
      <c r="AD7" s="1">
        <v>44.17</v>
      </c>
      <c r="AE7" s="1">
        <v>1.0349537037037037E-3</v>
      </c>
      <c r="AG7">
        <v>88121</v>
      </c>
      <c r="AH7" s="2">
        <f>_xlfn.LET(_xlpm.x,Table1221[[#This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5.2372685185185183E-4</v>
      </c>
      <c r="AI7" s="3">
        <f>IF(Table1221[[#This Row],[run 1 times]]="",999.99,IF(Table1221[[#This Row],[run 1 times]]=$AO$3,0,MAX(0,ROUND(((Table1221[[#This Row],[run 1 times]]-$AO$3)/$AO$3)*$AO$6,2))))</f>
        <v>25.55</v>
      </c>
      <c r="AJ7" s="2">
        <f>_xlfn.LET(_xlpm.x,Table1221[[#This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5.112268518518519E-4</v>
      </c>
      <c r="AK7" s="3">
        <f>IF(Table1221[[#This Row],[run2 times]]="",999.99,IF(Table1221[[#This Row],[run2 times]]=$AP$3,0,MAX(0,ROUND(((Table1221[[#This Row],[run2 times]]-$AP$3)/$AP$3)*$AO$6,2))))</f>
        <v>37.17</v>
      </c>
      <c r="AL7" s="2">
        <f>IF(OR(Table1221[[#This Row],[run 1 times]]="",Table1221[[#This Row],[run2 times]]=""),"",Table1221[[#This Row],[run 1 times]]+Table1221[[#This Row],[run2 times]])</f>
        <v>1.0349537037037037E-3</v>
      </c>
      <c r="AM7" s="3">
        <f>IF(Table1221[[#This Row],[total time]]="",999.99,IF(Table1221[[#This Row],[total time]]=$AQ$3,0,MAX(0,ROUND(((Table1221[[#This Row],[total time]]-$AQ$3)/$AQ$3)*$AO$6,2))))</f>
        <v>31.24</v>
      </c>
    </row>
    <row r="8" spans="1:43" x14ac:dyDescent="0.3">
      <c r="A8">
        <v>51</v>
      </c>
      <c r="B8">
        <v>51</v>
      </c>
      <c r="C8" t="s">
        <v>479</v>
      </c>
      <c r="D8" t="s">
        <v>522</v>
      </c>
      <c r="E8" t="s">
        <v>540</v>
      </c>
      <c r="F8">
        <v>2013</v>
      </c>
      <c r="G8" s="1" t="s">
        <v>518</v>
      </c>
      <c r="H8" s="1">
        <v>54.75</v>
      </c>
      <c r="I8" s="1"/>
      <c r="K8">
        <v>101429</v>
      </c>
      <c r="L8" s="2" t="str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8" s="3">
        <f>IF(Table12[[#This Row],[run 1 times]]="",999.99,IF(Table12[[#This Row],[run 1 times]]=$S$3,0,MAX(0,ROUND(((Table12[[#This Row],[run 1 times]]-$S$3)/$S$3)*$S$6,2))))</f>
        <v>999.99</v>
      </c>
      <c r="N8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6.3368055555555552E-4</v>
      </c>
      <c r="O8" s="3">
        <f>IF(Table12[[#This Row],[run2 times]]="",999.99,IF(Table12[[#This Row],[run2 times]]=$T$3,0,MAX(0,ROUND(((Table12[[#This Row],[run2 times]]-$T$3)/$T$3)*$S$6,2))))</f>
        <v>65.209999999999994</v>
      </c>
      <c r="P8" s="2" t="str">
        <f>IF(OR(Table12[[#This Row],[run 1 times]]="",Table12[[#This Row],[run2 times]]=""),"",Table12[[#This Row],[run 1 times]]+Table12[[#This Row],[run2 times]])</f>
        <v/>
      </c>
      <c r="Q8" s="3">
        <f>IF(Table12[[#This Row],[total time]]="",999.99,IF(Table12[[#This Row],[total time]]=$U$3,0,MAX(0,ROUND(((Table12[[#This Row],[total time]]-$U$3)/$U$3)*$S$6,2))))</f>
        <v>999.99</v>
      </c>
      <c r="W8">
        <v>6</v>
      </c>
      <c r="X8">
        <v>65</v>
      </c>
      <c r="Y8" t="s">
        <v>373</v>
      </c>
      <c r="Z8" t="s">
        <v>547</v>
      </c>
      <c r="AA8" t="s">
        <v>554</v>
      </c>
      <c r="AB8">
        <v>2011</v>
      </c>
      <c r="AC8" s="1">
        <v>54.6</v>
      </c>
      <c r="AD8" s="1">
        <v>6.9456018518518521E-4</v>
      </c>
      <c r="AE8" s="1">
        <v>1.3265046296296295E-3</v>
      </c>
      <c r="AG8">
        <v>94829</v>
      </c>
      <c r="AH8" s="2">
        <f>_xlfn.LET(_xlpm.x,Table1221[[#This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6.3194444444444442E-4</v>
      </c>
      <c r="AI8" s="3">
        <f>IF(Table1221[[#This Row],[run 1 times]]="",999.99,IF(Table1221[[#This Row],[run 1 times]]=$AO$3,0,MAX(0,ROUND(((Table1221[[#This Row],[run 1 times]]-$AO$3)/$AO$3)*$AO$6,2))))</f>
        <v>181.67</v>
      </c>
      <c r="AJ8" s="2">
        <f>_xlfn.LET(_xlpm.x,Table1221[[#This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6.9456018518518521E-4</v>
      </c>
      <c r="AK8" s="3">
        <f>IF(Table1221[[#This Row],[run2 times]]="",999.99,IF(Table1221[[#This Row],[run2 times]]=$AP$3,0,MAX(0,ROUND(((Table1221[[#This Row],[run2 times]]-$AP$3)/$AP$3)*$AO$6,2))))</f>
        <v>312.29000000000002</v>
      </c>
      <c r="AL8" s="2">
        <f>IF(OR(Table1221[[#This Row],[run 1 times]]="",Table1221[[#This Row],[run2 times]]=""),"",Table1221[[#This Row],[run 1 times]]+Table1221[[#This Row],[run2 times]])</f>
        <v>1.3265046296296297E-3</v>
      </c>
      <c r="AM8" s="3">
        <f>IF(Table1221[[#This Row],[total time]]="",999.99,IF(Table1221[[#This Row],[total time]]=$AQ$3,0,MAX(0,ROUND(((Table1221[[#This Row],[total time]]-$AQ$3)/$AQ$3)*$AO$6,2))))</f>
        <v>245.69</v>
      </c>
    </row>
    <row r="9" spans="1:43" x14ac:dyDescent="0.3">
      <c r="A9">
        <v>36</v>
      </c>
      <c r="B9">
        <v>36</v>
      </c>
      <c r="C9" t="s">
        <v>479</v>
      </c>
      <c r="D9" t="s">
        <v>480</v>
      </c>
      <c r="E9" t="s">
        <v>515</v>
      </c>
      <c r="F9">
        <v>2014</v>
      </c>
      <c r="G9" s="1" t="s">
        <v>512</v>
      </c>
      <c r="H9" s="1">
        <v>9.8657407407407396E-4</v>
      </c>
      <c r="I9" s="1"/>
      <c r="K9">
        <v>101435</v>
      </c>
      <c r="L9" s="2" t="str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9" s="3">
        <f>IF(Table12[[#This Row],[run 1 times]]="",999.99,IF(Table12[[#This Row],[run 1 times]]=$S$3,0,MAX(0,ROUND(((Table12[[#This Row],[run 1 times]]-$S$3)/$S$3)*$S$6,2))))</f>
        <v>999.99</v>
      </c>
      <c r="N9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9.8657407407407396E-4</v>
      </c>
      <c r="O9" s="3">
        <f>IF(Table12[[#This Row],[run2 times]]="",999.99,IF(Table12[[#This Row],[run2 times]]=$T$3,0,MAX(0,ROUND(((Table12[[#This Row],[run2 times]]-$T$3)/$T$3)*$S$6,2))))</f>
        <v>508.07</v>
      </c>
      <c r="P9" s="2" t="str">
        <f>IF(OR(Table12[[#This Row],[run 1 times]]="",Table12[[#This Row],[run2 times]]=""),"",Table12[[#This Row],[run 1 times]]+Table12[[#This Row],[run2 times]])</f>
        <v/>
      </c>
      <c r="Q9" s="3">
        <f>IF(Table12[[#This Row],[total time]]="",999.99,IF(Table12[[#This Row],[total time]]=$U$3,0,MAX(0,ROUND(((Table12[[#This Row],[total time]]-$U$3)/$U$3)*$S$6,2))))</f>
        <v>999.99</v>
      </c>
      <c r="W9">
        <v>7</v>
      </c>
      <c r="X9">
        <v>66</v>
      </c>
      <c r="Y9" t="s">
        <v>479</v>
      </c>
      <c r="Z9" t="s">
        <v>547</v>
      </c>
      <c r="AA9" t="s">
        <v>555</v>
      </c>
      <c r="AB9">
        <v>2011</v>
      </c>
      <c r="AC9" s="1" t="s">
        <v>512</v>
      </c>
      <c r="AD9" s="1" t="s">
        <v>512</v>
      </c>
      <c r="AE9" s="1"/>
      <c r="AG9">
        <v>94624</v>
      </c>
      <c r="AH9" s="2" t="str">
        <f>_xlfn.LET(_xlpm.x,Table1221[[#This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9" s="3">
        <f>IF(Table1221[[#This Row],[run 1 times]]="",999.99,IF(Table1221[[#This Row],[run 1 times]]=$AO$3,0,MAX(0,ROUND(((Table1221[[#This Row],[run 1 times]]-$AO$3)/$AO$3)*$AO$6,2))))</f>
        <v>999.99</v>
      </c>
      <c r="AJ9" s="2" t="str">
        <f>_xlfn.LET(_xlpm.x,Table1221[[#This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9" s="3">
        <f>IF(Table1221[[#This Row],[run2 times]]="",999.99,IF(Table1221[[#This Row],[run2 times]]=$AP$3,0,MAX(0,ROUND(((Table1221[[#This Row],[run2 times]]-$AP$3)/$AP$3)*$AO$6,2))))</f>
        <v>999.99</v>
      </c>
      <c r="AL9" s="2" t="str">
        <f>IF(OR(Table1221[[#This Row],[run 1 times]]="",Table1221[[#This Row],[run2 times]]=""),"",Table1221[[#This Row],[run 1 times]]+Table1221[[#This Row],[run2 times]])</f>
        <v/>
      </c>
      <c r="AM9" s="3">
        <f>IF(Table1221[[#This Row],[total time]]="",999.99,IF(Table1221[[#This Row],[total time]]=$AQ$3,0,MAX(0,ROUND(((Table1221[[#This Row],[total time]]-$AQ$3)/$AQ$3)*$AO$6,2))))</f>
        <v>999.99</v>
      </c>
    </row>
    <row r="10" spans="1:43" x14ac:dyDescent="0.3">
      <c r="A10">
        <v>28</v>
      </c>
      <c r="B10">
        <v>28</v>
      </c>
      <c r="C10" t="s">
        <v>479</v>
      </c>
      <c r="D10" t="s">
        <v>522</v>
      </c>
      <c r="E10" t="s">
        <v>531</v>
      </c>
      <c r="F10">
        <v>2012</v>
      </c>
      <c r="G10" s="1">
        <v>53.8</v>
      </c>
      <c r="H10" s="1">
        <v>59.95</v>
      </c>
      <c r="I10" s="1">
        <v>1.3165509259259259E-3</v>
      </c>
      <c r="K10">
        <v>101437</v>
      </c>
      <c r="L10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6.226851851851851E-4</v>
      </c>
      <c r="M10" s="3">
        <f>IF(Table12[[#This Row],[run 1 times]]="",999.99,IF(Table12[[#This Row],[run 1 times]]=$S$3,0,MAX(0,ROUND(((Table12[[#This Row],[run 1 times]]-$S$3)/$S$3)*$S$6,2))))</f>
        <v>94.91</v>
      </c>
      <c r="N10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6.9386574074074077E-4</v>
      </c>
      <c r="O10" s="3">
        <f>IF(Table12[[#This Row],[run2 times]]="",999.99,IF(Table12[[#This Row],[run2 times]]=$T$3,0,MAX(0,ROUND(((Table12[[#This Row],[run2 times]]-$T$3)/$T$3)*$S$6,2))))</f>
        <v>140.74</v>
      </c>
      <c r="P10" s="2">
        <f>IF(OR(Table12[[#This Row],[run 1 times]]="",Table12[[#This Row],[run2 times]]=""),"",Table12[[#This Row],[run 1 times]]+Table12[[#This Row],[run2 times]])</f>
        <v>1.3165509259259259E-3</v>
      </c>
      <c r="Q10" s="3">
        <f>IF(Table12[[#This Row],[total time]]="",999.99,IF(Table12[[#This Row],[total time]]=$U$3,0,MAX(0,ROUND(((Table12[[#This Row],[total time]]-$U$3)/$U$3)*$S$6,2))))</f>
        <v>117.58</v>
      </c>
      <c r="W10">
        <v>8</v>
      </c>
      <c r="X10">
        <v>67</v>
      </c>
      <c r="Y10" t="s">
        <v>24</v>
      </c>
      <c r="Z10" t="s">
        <v>547</v>
      </c>
      <c r="AA10" t="s">
        <v>556</v>
      </c>
      <c r="AB10">
        <v>2011</v>
      </c>
      <c r="AC10" s="1">
        <v>7.2557870370370365E-4</v>
      </c>
      <c r="AD10" s="1">
        <v>8.050925925925926E-4</v>
      </c>
      <c r="AE10" s="1">
        <v>1.5306712962962963E-3</v>
      </c>
      <c r="AG10">
        <v>121115</v>
      </c>
      <c r="AH10" s="2">
        <f>_xlfn.LET(_xlpm.x,Table1221[[#This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7.2557870370370365E-4</v>
      </c>
      <c r="AI10" s="3">
        <f>IF(Table1221[[#This Row],[run 1 times]]="",999.99,IF(Table1221[[#This Row],[run 1 times]]=$AO$3,0,MAX(0,ROUND(((Table1221[[#This Row],[run 1 times]]-$AO$3)/$AO$3)*$AO$6,2))))</f>
        <v>316.75</v>
      </c>
      <c r="AJ10" s="2">
        <f>_xlfn.LET(_xlpm.x,Table1221[[#This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8.050925925925926E-4</v>
      </c>
      <c r="AK10" s="3">
        <f>IF(Table1221[[#This Row],[run2 times]]="",999.99,IF(Table1221[[#This Row],[run2 times]]=$AP$3,0,MAX(0,ROUND(((Table1221[[#This Row],[run2 times]]-$AP$3)/$AP$3)*$AO$6,2))))</f>
        <v>478.16</v>
      </c>
      <c r="AL10" s="2">
        <f>IF(OR(Table1221[[#This Row],[run 1 times]]="",Table1221[[#This Row],[run2 times]]=""),"",Table1221[[#This Row],[run 1 times]]+Table1221[[#This Row],[run2 times]])</f>
        <v>1.5306712962962963E-3</v>
      </c>
      <c r="AM10" s="3">
        <f>IF(Table1221[[#This Row],[total time]]="",999.99,IF(Table1221[[#This Row],[total time]]=$AQ$3,0,MAX(0,ROUND(((Table1221[[#This Row],[total time]]-$AQ$3)/$AQ$3)*$AO$6,2))))</f>
        <v>395.86</v>
      </c>
    </row>
    <row r="11" spans="1:43" x14ac:dyDescent="0.3">
      <c r="A11">
        <v>26</v>
      </c>
      <c r="B11">
        <v>26</v>
      </c>
      <c r="C11" t="s">
        <v>223</v>
      </c>
      <c r="D11" t="s">
        <v>522</v>
      </c>
      <c r="E11" t="s">
        <v>538</v>
      </c>
      <c r="F11">
        <v>2012</v>
      </c>
      <c r="G11" s="1" t="s">
        <v>512</v>
      </c>
      <c r="H11" s="1">
        <v>54.45</v>
      </c>
      <c r="I11" s="1"/>
      <c r="K11">
        <v>102457</v>
      </c>
      <c r="L11" s="2" t="str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11" s="3">
        <f>IF(Table12[[#This Row],[run 1 times]]="",999.99,IF(Table12[[#This Row],[run 1 times]]=$S$3,0,MAX(0,ROUND(((Table12[[#This Row],[run 1 times]]-$S$3)/$S$3)*$S$6,2))))</f>
        <v>999.99</v>
      </c>
      <c r="N11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6.3020833333333331E-4</v>
      </c>
      <c r="O11" s="3">
        <f>IF(Table12[[#This Row],[run2 times]]="",999.99,IF(Table12[[#This Row],[run2 times]]=$T$3,0,MAX(0,ROUND(((Table12[[#This Row],[run2 times]]-$T$3)/$T$3)*$S$6,2))))</f>
        <v>60.86</v>
      </c>
      <c r="P11" s="2" t="str">
        <f>IF(OR(Table12[[#This Row],[run 1 times]]="",Table12[[#This Row],[run2 times]]=""),"",Table12[[#This Row],[run 1 times]]+Table12[[#This Row],[run2 times]])</f>
        <v/>
      </c>
      <c r="Q11" s="3">
        <f>IF(Table12[[#This Row],[total time]]="",999.99,IF(Table12[[#This Row],[total time]]=$U$3,0,MAX(0,ROUND(((Table12[[#This Row],[total time]]-$U$3)/$U$3)*$S$6,2))))</f>
        <v>999.99</v>
      </c>
      <c r="W11">
        <v>9</v>
      </c>
      <c r="X11">
        <v>68</v>
      </c>
      <c r="Y11" t="s">
        <v>479</v>
      </c>
      <c r="Z11" t="s">
        <v>547</v>
      </c>
      <c r="AA11" t="s">
        <v>557</v>
      </c>
      <c r="AB11">
        <v>2010</v>
      </c>
      <c r="AC11" s="1">
        <v>49.59</v>
      </c>
      <c r="AD11" s="1">
        <v>49.68</v>
      </c>
      <c r="AE11" s="1">
        <v>1.1489583333333334E-3</v>
      </c>
      <c r="AG11">
        <v>89874</v>
      </c>
      <c r="AH11" s="2">
        <f>_xlfn.LET(_xlpm.x,Table1221[[#This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5.7395833333333333E-4</v>
      </c>
      <c r="AI11" s="3">
        <f>IF(Table1221[[#This Row],[run 1 times]]="",999.99,IF(Table1221[[#This Row],[run 1 times]]=$AO$3,0,MAX(0,ROUND(((Table1221[[#This Row],[run 1 times]]-$AO$3)/$AO$3)*$AO$6,2))))</f>
        <v>98.01</v>
      </c>
      <c r="AJ11" s="2">
        <f>_xlfn.LET(_xlpm.x,Table1221[[#This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5.7499999999999999E-4</v>
      </c>
      <c r="AK11" s="3">
        <f>IF(Table1221[[#This Row],[run2 times]]="",999.99,IF(Table1221[[#This Row],[run2 times]]=$AP$3,0,MAX(0,ROUND(((Table1221[[#This Row],[run2 times]]-$AP$3)/$AP$3)*$AO$6,2))))</f>
        <v>132.87</v>
      </c>
      <c r="AL11" s="2">
        <f>IF(OR(Table1221[[#This Row],[run 1 times]]="",Table1221[[#This Row],[run2 times]]=""),"",Table1221[[#This Row],[run 1 times]]+Table1221[[#This Row],[run2 times]])</f>
        <v>1.1489583333333334E-3</v>
      </c>
      <c r="AM11" s="3">
        <f>IF(Table1221[[#This Row],[total time]]="",999.99,IF(Table1221[[#This Row],[total time]]=$AQ$3,0,MAX(0,ROUND(((Table1221[[#This Row],[total time]]-$AQ$3)/$AQ$3)*$AO$6,2))))</f>
        <v>115.1</v>
      </c>
    </row>
    <row r="12" spans="1:43" x14ac:dyDescent="0.3">
      <c r="A12">
        <v>33</v>
      </c>
      <c r="B12">
        <v>33</v>
      </c>
      <c r="C12" t="s">
        <v>257</v>
      </c>
      <c r="D12" t="s">
        <v>522</v>
      </c>
      <c r="E12" t="s">
        <v>528</v>
      </c>
      <c r="F12">
        <v>2012</v>
      </c>
      <c r="G12" s="1">
        <v>52.16</v>
      </c>
      <c r="H12" s="1">
        <v>55.72</v>
      </c>
      <c r="I12" s="1">
        <v>1.2486111111111111E-3</v>
      </c>
      <c r="K12">
        <v>102713</v>
      </c>
      <c r="L12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6.0370370370370363E-4</v>
      </c>
      <c r="M12" s="3">
        <f>IF(Table12[[#This Row],[run 1 times]]="",999.99,IF(Table12[[#This Row],[run 1 times]]=$S$3,0,MAX(0,ROUND(((Table12[[#This Row],[run 1 times]]-$S$3)/$S$3)*$S$6,2))))</f>
        <v>69.760000000000005</v>
      </c>
      <c r="N12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6.4490740740740741E-4</v>
      </c>
      <c r="O12" s="3">
        <f>IF(Table12[[#This Row],[run2 times]]="",999.99,IF(Table12[[#This Row],[run2 times]]=$T$3,0,MAX(0,ROUND(((Table12[[#This Row],[run2 times]]-$T$3)/$T$3)*$S$6,2))))</f>
        <v>79.3</v>
      </c>
      <c r="P12" s="2">
        <f>IF(OR(Table12[[#This Row],[run 1 times]]="",Table12[[#This Row],[run2 times]]=""),"",Table12[[#This Row],[run 1 times]]+Table12[[#This Row],[run2 times]])</f>
        <v>1.2486111111111109E-3</v>
      </c>
      <c r="Q12" s="3">
        <f>IF(Table12[[#This Row],[total time]]="",999.99,IF(Table12[[#This Row],[total time]]=$U$3,0,MAX(0,ROUND(((Table12[[#This Row],[total time]]-$U$3)/$U$3)*$S$6,2))))</f>
        <v>73.84</v>
      </c>
      <c r="W12">
        <v>10</v>
      </c>
      <c r="X12">
        <v>69</v>
      </c>
      <c r="Y12" t="s">
        <v>257</v>
      </c>
      <c r="Z12" t="s">
        <v>552</v>
      </c>
      <c r="AA12" t="s">
        <v>558</v>
      </c>
      <c r="AB12">
        <v>2009</v>
      </c>
      <c r="AC12" s="1">
        <v>48.72</v>
      </c>
      <c r="AD12" s="1">
        <v>49.17</v>
      </c>
      <c r="AE12" s="1">
        <v>1.1329861111111111E-3</v>
      </c>
      <c r="AG12">
        <v>109211</v>
      </c>
      <c r="AH12" s="2">
        <f>_xlfn.LET(_xlpm.x,Table1221[[#This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5.6388888888888884E-4</v>
      </c>
      <c r="AI12" s="3">
        <f>IF(Table1221[[#This Row],[run 1 times]]="",999.99,IF(Table1221[[#This Row],[run 1 times]]=$AO$3,0,MAX(0,ROUND(((Table1221[[#This Row],[run 1 times]]-$AO$3)/$AO$3)*$AO$6,2))))</f>
        <v>83.49</v>
      </c>
      <c r="AJ12" s="2">
        <f>_xlfn.LET(_xlpm.x,Table1221[[#This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5.6909722222222225E-4</v>
      </c>
      <c r="AK12" s="3">
        <f>IF(Table1221[[#This Row],[run2 times]]="",999.99,IF(Table1221[[#This Row],[run2 times]]=$AP$3,0,MAX(0,ROUND(((Table1221[[#This Row],[run2 times]]-$AP$3)/$AP$3)*$AO$6,2))))</f>
        <v>124.01</v>
      </c>
      <c r="AL12" s="2">
        <f>IF(OR(Table1221[[#This Row],[run 1 times]]="",Table1221[[#This Row],[run2 times]]=""),"",Table1221[[#This Row],[run 1 times]]+Table1221[[#This Row],[run2 times]])</f>
        <v>1.1329861111111111E-3</v>
      </c>
      <c r="AM12" s="3">
        <f>IF(Table1221[[#This Row],[total time]]="",999.99,IF(Table1221[[#This Row],[total time]]=$AQ$3,0,MAX(0,ROUND(((Table1221[[#This Row],[total time]]-$AQ$3)/$AQ$3)*$AO$6,2))))</f>
        <v>103.35</v>
      </c>
    </row>
    <row r="13" spans="1:43" x14ac:dyDescent="0.3">
      <c r="A13">
        <v>17</v>
      </c>
      <c r="B13">
        <v>17</v>
      </c>
      <c r="C13" t="s">
        <v>24</v>
      </c>
      <c r="D13" t="s">
        <v>522</v>
      </c>
      <c r="E13" t="s">
        <v>537</v>
      </c>
      <c r="F13">
        <v>2012</v>
      </c>
      <c r="G13" s="1" t="s">
        <v>510</v>
      </c>
      <c r="H13" s="1" t="s">
        <v>510</v>
      </c>
      <c r="I13" s="1"/>
      <c r="K13">
        <v>102772</v>
      </c>
      <c r="L13" s="2" t="str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13" s="3">
        <f>IF(Table12[[#This Row],[run 1 times]]="",999.99,IF(Table12[[#This Row],[run 1 times]]=$S$3,0,MAX(0,ROUND(((Table12[[#This Row],[run 1 times]]-$S$3)/$S$3)*$S$6,2))))</f>
        <v>999.99</v>
      </c>
      <c r="N13" s="2" t="str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13" s="3">
        <f>IF(Table12[[#This Row],[run2 times]]="",999.99,IF(Table12[[#This Row],[run2 times]]=$T$3,0,MAX(0,ROUND(((Table12[[#This Row],[run2 times]]-$T$3)/$T$3)*$S$6,2))))</f>
        <v>999.99</v>
      </c>
      <c r="P13" s="2" t="str">
        <f>IF(OR(Table12[[#This Row],[run 1 times]]="",Table12[[#This Row],[run2 times]]=""),"",Table12[[#This Row],[run 1 times]]+Table12[[#This Row],[run2 times]])</f>
        <v/>
      </c>
      <c r="Q13" s="3">
        <f>IF(Table12[[#This Row],[total time]]="",999.99,IF(Table12[[#This Row],[total time]]=$U$3,0,MAX(0,ROUND(((Table12[[#This Row],[total time]]-$U$3)/$U$3)*$S$6,2))))</f>
        <v>999.99</v>
      </c>
      <c r="W13">
        <v>11</v>
      </c>
      <c r="X13">
        <v>70</v>
      </c>
      <c r="Y13" t="s">
        <v>24</v>
      </c>
      <c r="Z13" t="s">
        <v>552</v>
      </c>
      <c r="AA13" t="s">
        <v>559</v>
      </c>
      <c r="AB13">
        <v>2009</v>
      </c>
      <c r="AC13" s="1">
        <v>50.48</v>
      </c>
      <c r="AD13" s="1" t="s">
        <v>512</v>
      </c>
      <c r="AE13" s="1"/>
      <c r="AG13">
        <v>91622</v>
      </c>
      <c r="AH13" s="2">
        <f>_xlfn.LET(_xlpm.x,Table1221[[#This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5.8425925925925919E-4</v>
      </c>
      <c r="AI13" s="3">
        <f>IF(Table1221[[#This Row],[run 1 times]]="",999.99,IF(Table1221[[#This Row],[run 1 times]]=$AO$3,0,MAX(0,ROUND(((Table1221[[#This Row],[run 1 times]]-$AO$3)/$AO$3)*$AO$6,2))))</f>
        <v>112.87</v>
      </c>
      <c r="AJ13" s="2" t="str">
        <f>_xlfn.LET(_xlpm.x,Table1221[[#This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13" s="3">
        <f>IF(Table1221[[#This Row],[run2 times]]="",999.99,IF(Table1221[[#This Row],[run2 times]]=$AP$3,0,MAX(0,ROUND(((Table1221[[#This Row],[run2 times]]-$AP$3)/$AP$3)*$AO$6,2))))</f>
        <v>999.99</v>
      </c>
      <c r="AL13" s="2" t="str">
        <f>IF(OR(Table1221[[#This Row],[run 1 times]]="",Table1221[[#This Row],[run2 times]]=""),"",Table1221[[#This Row],[run 1 times]]+Table1221[[#This Row],[run2 times]])</f>
        <v/>
      </c>
      <c r="AM13" s="3">
        <f>IF(Table1221[[#This Row],[total time]]="",999.99,IF(Table1221[[#This Row],[total time]]=$AQ$3,0,MAX(0,ROUND(((Table1221[[#This Row],[total time]]-$AQ$3)/$AQ$3)*$AO$6,2))))</f>
        <v>999.99</v>
      </c>
    </row>
    <row r="14" spans="1:43" x14ac:dyDescent="0.3">
      <c r="A14">
        <v>7</v>
      </c>
      <c r="B14">
        <v>7</v>
      </c>
      <c r="C14" t="s">
        <v>24</v>
      </c>
      <c r="D14" t="s">
        <v>522</v>
      </c>
      <c r="E14" t="s">
        <v>546</v>
      </c>
      <c r="F14">
        <v>2012</v>
      </c>
      <c r="G14" s="1">
        <v>49.08</v>
      </c>
      <c r="H14" s="1" t="s">
        <v>518</v>
      </c>
      <c r="I14" s="1"/>
      <c r="K14">
        <v>102776</v>
      </c>
      <c r="L14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5.6805555555555559E-4</v>
      </c>
      <c r="M14" s="3">
        <f>IF(Table12[[#This Row],[run 1 times]]="",999.99,IF(Table12[[#This Row],[run 1 times]]=$S$3,0,MAX(0,ROUND(((Table12[[#This Row],[run 1 times]]-$S$3)/$S$3)*$S$6,2))))</f>
        <v>22.54</v>
      </c>
      <c r="N14" s="2" t="str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14" s="3">
        <f>IF(Table12[[#This Row],[run2 times]]="",999.99,IF(Table12[[#This Row],[run2 times]]=$T$3,0,MAX(0,ROUND(((Table12[[#This Row],[run2 times]]-$T$3)/$T$3)*$S$6,2))))</f>
        <v>999.99</v>
      </c>
      <c r="P14" s="2" t="str">
        <f>IF(OR(Table12[[#This Row],[run 1 times]]="",Table12[[#This Row],[run2 times]]=""),"",Table12[[#This Row],[run 1 times]]+Table12[[#This Row],[run2 times]])</f>
        <v/>
      </c>
      <c r="Q14" s="3">
        <f>IF(Table12[[#This Row],[total time]]="",999.99,IF(Table12[[#This Row],[total time]]=$U$3,0,MAX(0,ROUND(((Table12[[#This Row],[total time]]-$U$3)/$U$3)*$S$6,2))))</f>
        <v>999.99</v>
      </c>
      <c r="W14">
        <v>12</v>
      </c>
      <c r="X14">
        <v>71</v>
      </c>
      <c r="Y14" t="s">
        <v>24</v>
      </c>
      <c r="Z14" t="s">
        <v>547</v>
      </c>
      <c r="AA14" t="s">
        <v>560</v>
      </c>
      <c r="AB14">
        <v>2011</v>
      </c>
      <c r="AC14" s="1">
        <v>56.36</v>
      </c>
      <c r="AD14" s="1">
        <v>55.74</v>
      </c>
      <c r="AE14" s="1">
        <v>1.2974537037037037E-3</v>
      </c>
      <c r="AG14">
        <v>88934</v>
      </c>
      <c r="AH14" s="2">
        <f>_xlfn.LET(_xlpm.x,Table1221[[#This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6.5231481481481477E-4</v>
      </c>
      <c r="AI14" s="3">
        <f>IF(Table1221[[#This Row],[run 1 times]]="",999.99,IF(Table1221[[#This Row],[run 1 times]]=$AO$3,0,MAX(0,ROUND(((Table1221[[#This Row],[run 1 times]]-$AO$3)/$AO$3)*$AO$6,2))))</f>
        <v>211.05</v>
      </c>
      <c r="AJ14" s="2">
        <f>_xlfn.LET(_xlpm.x,Table1221[[#This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6.4513888888888889E-4</v>
      </c>
      <c r="AK14" s="3">
        <f>IF(Table1221[[#This Row],[run2 times]]="",999.99,IF(Table1221[[#This Row],[run2 times]]=$AP$3,0,MAX(0,ROUND(((Table1221[[#This Row],[run2 times]]-$AP$3)/$AP$3)*$AO$6,2))))</f>
        <v>238.12</v>
      </c>
      <c r="AL14" s="2">
        <f>IF(OR(Table1221[[#This Row],[run 1 times]]="",Table1221[[#This Row],[run2 times]]=""),"",Table1221[[#This Row],[run 1 times]]+Table1221[[#This Row],[run2 times]])</f>
        <v>1.2974537037037037E-3</v>
      </c>
      <c r="AM14" s="3">
        <f>IF(Table1221[[#This Row],[total time]]="",999.99,IF(Table1221[[#This Row],[total time]]=$AQ$3,0,MAX(0,ROUND(((Table1221[[#This Row],[total time]]-$AQ$3)/$AQ$3)*$AO$6,2))))</f>
        <v>224.32</v>
      </c>
    </row>
    <row r="15" spans="1:43" x14ac:dyDescent="0.3">
      <c r="A15">
        <v>8</v>
      </c>
      <c r="B15">
        <v>8</v>
      </c>
      <c r="C15" t="s">
        <v>24</v>
      </c>
      <c r="D15" t="s">
        <v>522</v>
      </c>
      <c r="E15" t="s">
        <v>539</v>
      </c>
      <c r="F15">
        <v>2012</v>
      </c>
      <c r="G15" s="1" t="s">
        <v>512</v>
      </c>
      <c r="H15" s="1">
        <v>7.1585648148148149E-4</v>
      </c>
      <c r="I15" s="1"/>
      <c r="K15">
        <v>102777</v>
      </c>
      <c r="L15" s="2" t="str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15" s="3">
        <f>IF(Table12[[#This Row],[run 1 times]]="",999.99,IF(Table12[[#This Row],[run 1 times]]=$S$3,0,MAX(0,ROUND(((Table12[[#This Row],[run 1 times]]-$S$3)/$S$3)*$S$6,2))))</f>
        <v>999.99</v>
      </c>
      <c r="N15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7.1585648148148149E-4</v>
      </c>
      <c r="O15" s="3">
        <f>IF(Table12[[#This Row],[run2 times]]="",999.99,IF(Table12[[#This Row],[run2 times]]=$T$3,0,MAX(0,ROUND(((Table12[[#This Row],[run2 times]]-$T$3)/$T$3)*$S$6,2))))</f>
        <v>168.34</v>
      </c>
      <c r="P15" s="2" t="str">
        <f>IF(OR(Table12[[#This Row],[run 1 times]]="",Table12[[#This Row],[run2 times]]=""),"",Table12[[#This Row],[run 1 times]]+Table12[[#This Row],[run2 times]])</f>
        <v/>
      </c>
      <c r="Q15" s="3">
        <f>IF(Table12[[#This Row],[total time]]="",999.99,IF(Table12[[#This Row],[total time]]=$U$3,0,MAX(0,ROUND(((Table12[[#This Row],[total time]]-$U$3)/$U$3)*$S$6,2))))</f>
        <v>999.99</v>
      </c>
      <c r="W15">
        <v>13</v>
      </c>
      <c r="X15">
        <v>72</v>
      </c>
      <c r="Y15" t="s">
        <v>479</v>
      </c>
      <c r="Z15" t="s">
        <v>547</v>
      </c>
      <c r="AA15" t="s">
        <v>561</v>
      </c>
      <c r="AB15">
        <v>2011</v>
      </c>
      <c r="AC15" s="1" t="s">
        <v>518</v>
      </c>
      <c r="AD15" s="1">
        <v>48.25</v>
      </c>
      <c r="AE15" s="1"/>
      <c r="AG15">
        <v>101426</v>
      </c>
      <c r="AH15" s="2" t="str">
        <f>_xlfn.LET(_xlpm.x,Table1221[[#This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15" s="3">
        <f>IF(Table1221[[#This Row],[run 1 times]]="",999.99,IF(Table1221[[#This Row],[run 1 times]]=$AO$3,0,MAX(0,ROUND(((Table1221[[#This Row],[run 1 times]]-$AO$3)/$AO$3)*$AO$6,2))))</f>
        <v>999.99</v>
      </c>
      <c r="AJ15" s="2">
        <f>_xlfn.LET(_xlpm.x,Table1221[[#This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5.5844907407407406E-4</v>
      </c>
      <c r="AK15" s="3">
        <f>IF(Table1221[[#This Row],[run2 times]]="",999.99,IF(Table1221[[#This Row],[run2 times]]=$AP$3,0,MAX(0,ROUND(((Table1221[[#This Row],[run2 times]]-$AP$3)/$AP$3)*$AO$6,2))))</f>
        <v>108.03</v>
      </c>
      <c r="AL15" s="2" t="str">
        <f>IF(OR(Table1221[[#This Row],[run 1 times]]="",Table1221[[#This Row],[run2 times]]=""),"",Table1221[[#This Row],[run 1 times]]+Table1221[[#This Row],[run2 times]])</f>
        <v/>
      </c>
      <c r="AM15" s="3">
        <f>IF(Table1221[[#This Row],[total time]]="",999.99,IF(Table1221[[#This Row],[total time]]=$AQ$3,0,MAX(0,ROUND(((Table1221[[#This Row],[total time]]-$AQ$3)/$AQ$3)*$AO$6,2))))</f>
        <v>999.99</v>
      </c>
    </row>
    <row r="16" spans="1:43" x14ac:dyDescent="0.3">
      <c r="A16">
        <v>35</v>
      </c>
      <c r="B16">
        <v>35</v>
      </c>
      <c r="C16" t="s">
        <v>479</v>
      </c>
      <c r="D16" t="s">
        <v>522</v>
      </c>
      <c r="E16" t="s">
        <v>541</v>
      </c>
      <c r="F16">
        <v>2013</v>
      </c>
      <c r="G16" s="1">
        <v>56.48</v>
      </c>
      <c r="H16" s="1" t="s">
        <v>512</v>
      </c>
      <c r="I16" s="1"/>
      <c r="K16">
        <v>103278</v>
      </c>
      <c r="L16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6.5370370370370365E-4</v>
      </c>
      <c r="M16" s="3">
        <f>IF(Table12[[#This Row],[run 1 times]]="",999.99,IF(Table12[[#This Row],[run 1 times]]=$S$3,0,MAX(0,ROUND(((Table12[[#This Row],[run 1 times]]-$S$3)/$S$3)*$S$6,2))))</f>
        <v>136</v>
      </c>
      <c r="N16" s="2" t="str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16" s="3">
        <f>IF(Table12[[#This Row],[run2 times]]="",999.99,IF(Table12[[#This Row],[run2 times]]=$T$3,0,MAX(0,ROUND(((Table12[[#This Row],[run2 times]]-$T$3)/$T$3)*$S$6,2))))</f>
        <v>999.99</v>
      </c>
      <c r="P16" s="2" t="str">
        <f>IF(OR(Table12[[#This Row],[run 1 times]]="",Table12[[#This Row],[run2 times]]=""),"",Table12[[#This Row],[run 1 times]]+Table12[[#This Row],[run2 times]])</f>
        <v/>
      </c>
      <c r="Q16" s="3">
        <f>IF(Table12[[#This Row],[total time]]="",999.99,IF(Table12[[#This Row],[total time]]=$U$3,0,MAX(0,ROUND(((Table12[[#This Row],[total time]]-$U$3)/$U$3)*$S$6,2))))</f>
        <v>999.99</v>
      </c>
      <c r="W16">
        <v>14</v>
      </c>
      <c r="X16">
        <v>73</v>
      </c>
      <c r="Y16" t="s">
        <v>24</v>
      </c>
      <c r="Z16" t="s">
        <v>547</v>
      </c>
      <c r="AA16" t="s">
        <v>562</v>
      </c>
      <c r="AB16">
        <v>2011</v>
      </c>
      <c r="AC16" s="1">
        <v>54.56</v>
      </c>
      <c r="AD16" s="1">
        <v>54.24</v>
      </c>
      <c r="AE16" s="1">
        <v>1.2592592592592592E-3</v>
      </c>
      <c r="AG16">
        <v>104665</v>
      </c>
      <c r="AH16" s="2">
        <f>_xlfn.LET(_xlpm.x,Table1221[[#This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6.3148148148148146E-4</v>
      </c>
      <c r="AI16" s="3">
        <f>IF(Table1221[[#This Row],[run 1 times]]="",999.99,IF(Table1221[[#This Row],[run 1 times]]=$AO$3,0,MAX(0,ROUND(((Table1221[[#This Row],[run 1 times]]-$AO$3)/$AO$3)*$AO$6,2))))</f>
        <v>181</v>
      </c>
      <c r="AJ16" s="2">
        <f>_xlfn.LET(_xlpm.x,Table1221[[#This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6.2777777777777777E-4</v>
      </c>
      <c r="AK16" s="3">
        <f>IF(Table1221[[#This Row],[run2 times]]="",999.99,IF(Table1221[[#This Row],[run2 times]]=$AP$3,0,MAX(0,ROUND(((Table1221[[#This Row],[run2 times]]-$AP$3)/$AP$3)*$AO$6,2))))</f>
        <v>212.07</v>
      </c>
      <c r="AL16" s="2">
        <f>IF(OR(Table1221[[#This Row],[run 1 times]]="",Table1221[[#This Row],[run2 times]]=""),"",Table1221[[#This Row],[run 1 times]]+Table1221[[#This Row],[run2 times]])</f>
        <v>1.2592592592592592E-3</v>
      </c>
      <c r="AM16" s="3">
        <f>IF(Table1221[[#This Row],[total time]]="",999.99,IF(Table1221[[#This Row],[total time]]=$AQ$3,0,MAX(0,ROUND(((Table1221[[#This Row],[total time]]-$AQ$3)/$AQ$3)*$AO$6,2))))</f>
        <v>196.23</v>
      </c>
    </row>
    <row r="17" spans="1:39" x14ac:dyDescent="0.3">
      <c r="A17">
        <v>10</v>
      </c>
      <c r="B17">
        <v>10</v>
      </c>
      <c r="C17" t="s">
        <v>479</v>
      </c>
      <c r="D17" t="s">
        <v>522</v>
      </c>
      <c r="E17" t="s">
        <v>545</v>
      </c>
      <c r="F17">
        <v>2013</v>
      </c>
      <c r="G17" s="1">
        <v>6.9745370370370371E-4</v>
      </c>
      <c r="H17" s="1" t="s">
        <v>512</v>
      </c>
      <c r="I17" s="1"/>
      <c r="K17">
        <v>103279</v>
      </c>
      <c r="L17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6.9745370370370371E-4</v>
      </c>
      <c r="M17" s="3">
        <f>IF(Table12[[#This Row],[run 1 times]]="",999.99,IF(Table12[[#This Row],[run 1 times]]=$S$3,0,MAX(0,ROUND(((Table12[[#This Row],[run 1 times]]-$S$3)/$S$3)*$S$6,2))))</f>
        <v>193.96</v>
      </c>
      <c r="N17" s="2" t="str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17" s="3">
        <f>IF(Table12[[#This Row],[run2 times]]="",999.99,IF(Table12[[#This Row],[run2 times]]=$T$3,0,MAX(0,ROUND(((Table12[[#This Row],[run2 times]]-$T$3)/$T$3)*$S$6,2))))</f>
        <v>999.99</v>
      </c>
      <c r="P17" s="2" t="str">
        <f>IF(OR(Table12[[#This Row],[run 1 times]]="",Table12[[#This Row],[run2 times]]=""),"",Table12[[#This Row],[run 1 times]]+Table12[[#This Row],[run2 times]])</f>
        <v/>
      </c>
      <c r="Q17" s="3">
        <f>IF(Table12[[#This Row],[total time]]="",999.99,IF(Table12[[#This Row],[total time]]=$U$3,0,MAX(0,ROUND(((Table12[[#This Row],[total time]]-$U$3)/$U$3)*$S$6,2))))</f>
        <v>999.99</v>
      </c>
      <c r="W17">
        <v>15</v>
      </c>
      <c r="X17">
        <v>74</v>
      </c>
      <c r="Y17" t="s">
        <v>479</v>
      </c>
      <c r="Z17" t="s">
        <v>547</v>
      </c>
      <c r="AA17" t="s">
        <v>563</v>
      </c>
      <c r="AB17">
        <v>2010</v>
      </c>
      <c r="AC17" s="1">
        <v>56.7</v>
      </c>
      <c r="AD17" s="1">
        <v>6.9606481481481483E-4</v>
      </c>
      <c r="AE17" s="1">
        <v>1.3523148148148149E-3</v>
      </c>
      <c r="AG17">
        <v>102356</v>
      </c>
      <c r="AH17" s="2">
        <f>_xlfn.LET(_xlpm.x,Table1221[[#This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6.5625000000000004E-4</v>
      </c>
      <c r="AI17" s="3">
        <f>IF(Table1221[[#This Row],[run 1 times]]="",999.99,IF(Table1221[[#This Row],[run 1 times]]=$AO$3,0,MAX(0,ROUND(((Table1221[[#This Row],[run 1 times]]-$AO$3)/$AO$3)*$AO$6,2))))</f>
        <v>216.73</v>
      </c>
      <c r="AJ17" s="2">
        <f>_xlfn.LET(_xlpm.x,Table1221[[#This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6.9606481481481483E-4</v>
      </c>
      <c r="AK17" s="3">
        <f>IF(Table1221[[#This Row],[run2 times]]="",999.99,IF(Table1221[[#This Row],[run2 times]]=$AP$3,0,MAX(0,ROUND(((Table1221[[#This Row],[run2 times]]-$AP$3)/$AP$3)*$AO$6,2))))</f>
        <v>314.54000000000002</v>
      </c>
      <c r="AL17" s="2">
        <f>IF(OR(Table1221[[#This Row],[run 1 times]]="",Table1221[[#This Row],[run2 times]]=""),"",Table1221[[#This Row],[run 1 times]]+Table1221[[#This Row],[run2 times]])</f>
        <v>1.3523148148148149E-3</v>
      </c>
      <c r="AM17" s="3">
        <f>IF(Table1221[[#This Row],[total time]]="",999.99,IF(Table1221[[#This Row],[total time]]=$AQ$3,0,MAX(0,ROUND(((Table1221[[#This Row],[total time]]-$AQ$3)/$AQ$3)*$AO$6,2))))</f>
        <v>264.67</v>
      </c>
    </row>
    <row r="18" spans="1:39" x14ac:dyDescent="0.3">
      <c r="A18">
        <v>9</v>
      </c>
      <c r="B18">
        <v>9</v>
      </c>
      <c r="C18" t="s">
        <v>24</v>
      </c>
      <c r="D18" t="s">
        <v>522</v>
      </c>
      <c r="E18" t="s">
        <v>533</v>
      </c>
      <c r="F18">
        <v>2013</v>
      </c>
      <c r="G18" s="1">
        <v>57.38</v>
      </c>
      <c r="H18" s="1">
        <v>8.2349537037037048E-4</v>
      </c>
      <c r="I18" s="1">
        <v>1.4876157407407407E-3</v>
      </c>
      <c r="K18">
        <v>104666</v>
      </c>
      <c r="L18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6.6412037037037036E-4</v>
      </c>
      <c r="M18" s="3">
        <f>IF(Table12[[#This Row],[run 1 times]]="",999.99,IF(Table12[[#This Row],[run 1 times]]=$S$3,0,MAX(0,ROUND(((Table12[[#This Row],[run 1 times]]-$S$3)/$S$3)*$S$6,2))))</f>
        <v>149.80000000000001</v>
      </c>
      <c r="N18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8.2349537037037048E-4</v>
      </c>
      <c r="O18" s="3">
        <f>IF(Table12[[#This Row],[run2 times]]="",999.99,IF(Table12[[#This Row],[run2 times]]=$T$3,0,MAX(0,ROUND(((Table12[[#This Row],[run2 times]]-$T$3)/$T$3)*$S$6,2))))</f>
        <v>303.42</v>
      </c>
      <c r="P18" s="2">
        <f>IF(OR(Table12[[#This Row],[run 1 times]]="",Table12[[#This Row],[run2 times]]=""),"",Table12[[#This Row],[run 1 times]]+Table12[[#This Row],[run2 times]])</f>
        <v>1.4876157407407407E-3</v>
      </c>
      <c r="Q18" s="3">
        <f>IF(Table12[[#This Row],[total time]]="",999.99,IF(Table12[[#This Row],[total time]]=$U$3,0,MAX(0,ROUND(((Table12[[#This Row],[total time]]-$U$3)/$U$3)*$S$6,2))))</f>
        <v>227.71</v>
      </c>
      <c r="W18">
        <v>16</v>
      </c>
      <c r="X18">
        <v>75</v>
      </c>
      <c r="Y18" t="s">
        <v>24</v>
      </c>
      <c r="Z18" t="s">
        <v>547</v>
      </c>
      <c r="AA18" t="s">
        <v>564</v>
      </c>
      <c r="AB18">
        <v>2011</v>
      </c>
      <c r="AC18" s="1">
        <v>58.56</v>
      </c>
      <c r="AD18" s="1">
        <v>57.69</v>
      </c>
      <c r="AE18" s="1">
        <v>1.3454861111111111E-3</v>
      </c>
      <c r="AG18">
        <v>89072</v>
      </c>
      <c r="AH18" s="2">
        <f>_xlfn.LET(_xlpm.x,Table1221[[#This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6.777777777777778E-4</v>
      </c>
      <c r="AI18" s="3">
        <f>IF(Table1221[[#This Row],[run 1 times]]="",999.99,IF(Table1221[[#This Row],[run 1 times]]=$AO$3,0,MAX(0,ROUND(((Table1221[[#This Row],[run 1 times]]-$AO$3)/$AO$3)*$AO$6,2))))</f>
        <v>247.79</v>
      </c>
      <c r="AJ18" s="2">
        <f>_xlfn.LET(_xlpm.x,Table1221[[#This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6.677083333333333E-4</v>
      </c>
      <c r="AK18" s="3">
        <f>IF(Table1221[[#This Row],[run2 times]]="",999.99,IF(Table1221[[#This Row],[run2 times]]=$AP$3,0,MAX(0,ROUND(((Table1221[[#This Row],[run2 times]]-$AP$3)/$AP$3)*$AO$6,2))))</f>
        <v>271.99</v>
      </c>
      <c r="AL18" s="2">
        <f>IF(OR(Table1221[[#This Row],[run 1 times]]="",Table1221[[#This Row],[run2 times]]=""),"",Table1221[[#This Row],[run 1 times]]+Table1221[[#This Row],[run2 times]])</f>
        <v>1.3454861111111111E-3</v>
      </c>
      <c r="AM18" s="3">
        <f>IF(Table1221[[#This Row],[total time]]="",999.99,IF(Table1221[[#This Row],[total time]]=$AQ$3,0,MAX(0,ROUND(((Table1221[[#This Row],[total time]]-$AQ$3)/$AQ$3)*$AO$6,2))))</f>
        <v>259.64999999999998</v>
      </c>
    </row>
    <row r="19" spans="1:39" x14ac:dyDescent="0.3">
      <c r="A19">
        <v>52</v>
      </c>
      <c r="B19">
        <v>52</v>
      </c>
      <c r="C19" t="s">
        <v>223</v>
      </c>
      <c r="D19" t="s">
        <v>480</v>
      </c>
      <c r="E19" t="s">
        <v>501</v>
      </c>
      <c r="F19">
        <v>2014</v>
      </c>
      <c r="G19" s="1">
        <v>8.3460648148148153E-4</v>
      </c>
      <c r="H19" s="1">
        <v>9.1631944444444443E-4</v>
      </c>
      <c r="I19" s="1">
        <v>1.750925925925926E-3</v>
      </c>
      <c r="K19">
        <v>107911</v>
      </c>
      <c r="L19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8.3460648148148153E-4</v>
      </c>
      <c r="M19" s="3">
        <f>IF(Table12[[#This Row],[run 1 times]]="",999.99,IF(Table12[[#This Row],[run 1 times]]=$S$3,0,MAX(0,ROUND(((Table12[[#This Row],[run 1 times]]-$S$3)/$S$3)*$S$6,2))))</f>
        <v>375.66</v>
      </c>
      <c r="N19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9.1631944444444443E-4</v>
      </c>
      <c r="O19" s="3">
        <f>IF(Table12[[#This Row],[run2 times]]="",999.99,IF(Table12[[#This Row],[run2 times]]=$T$3,0,MAX(0,ROUND(((Table12[[#This Row],[run2 times]]-$T$3)/$T$3)*$S$6,2))))</f>
        <v>419.9</v>
      </c>
      <c r="P19" s="2">
        <f>IF(OR(Table12[[#This Row],[run 1 times]]="",Table12[[#This Row],[run2 times]]=""),"",Table12[[#This Row],[run 1 times]]+Table12[[#This Row],[run2 times]])</f>
        <v>1.750925925925926E-3</v>
      </c>
      <c r="Q19" s="3">
        <f>IF(Table12[[#This Row],[total time]]="",999.99,IF(Table12[[#This Row],[total time]]=$U$3,0,MAX(0,ROUND(((Table12[[#This Row],[total time]]-$U$3)/$U$3)*$S$6,2))))</f>
        <v>397.23</v>
      </c>
      <c r="W19">
        <v>17</v>
      </c>
      <c r="X19">
        <v>76</v>
      </c>
      <c r="Y19" t="s">
        <v>24</v>
      </c>
      <c r="Z19" t="s">
        <v>547</v>
      </c>
      <c r="AA19" t="s">
        <v>565</v>
      </c>
      <c r="AB19">
        <v>2011</v>
      </c>
      <c r="AC19" s="1">
        <v>44.24</v>
      </c>
      <c r="AD19" s="1">
        <v>45.8</v>
      </c>
      <c r="AE19" s="1">
        <v>1.0421296296296296E-3</v>
      </c>
      <c r="AG19">
        <v>89752</v>
      </c>
      <c r="AH19" s="2">
        <f>_xlfn.LET(_xlpm.x,Table1221[[#This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5.1203703703703708E-4</v>
      </c>
      <c r="AI19" s="3">
        <f>IF(Table1221[[#This Row],[run 1 times]]="",999.99,IF(Table1221[[#This Row],[run 1 times]]=$AO$3,0,MAX(0,ROUND(((Table1221[[#This Row],[run 1 times]]-$AO$3)/$AO$3)*$AO$6,2))))</f>
        <v>8.68</v>
      </c>
      <c r="AJ19" s="2">
        <f>_xlfn.LET(_xlpm.x,Table1221[[#This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5.3009259259259253E-4</v>
      </c>
      <c r="AK19" s="3">
        <f>IF(Table1221[[#This Row],[run2 times]]="",999.99,IF(Table1221[[#This Row],[run2 times]]=$AP$3,0,MAX(0,ROUND(((Table1221[[#This Row],[run2 times]]-$AP$3)/$AP$3)*$AO$6,2))))</f>
        <v>65.48</v>
      </c>
      <c r="AL19" s="2">
        <f>IF(OR(Table1221[[#This Row],[run 1 times]]="",Table1221[[#This Row],[run2 times]]=""),"",Table1221[[#This Row],[run 1 times]]+Table1221[[#This Row],[run2 times]])</f>
        <v>1.0421296296296296E-3</v>
      </c>
      <c r="AM19" s="3">
        <f>IF(Table1221[[#This Row],[total time]]="",999.99,IF(Table1221[[#This Row],[total time]]=$AQ$3,0,MAX(0,ROUND(((Table1221[[#This Row],[total time]]-$AQ$3)/$AQ$3)*$AO$6,2))))</f>
        <v>36.520000000000003</v>
      </c>
    </row>
    <row r="20" spans="1:39" x14ac:dyDescent="0.3">
      <c r="A20">
        <v>1</v>
      </c>
      <c r="B20">
        <v>1</v>
      </c>
      <c r="C20" t="s">
        <v>479</v>
      </c>
      <c r="D20" t="s">
        <v>480</v>
      </c>
      <c r="E20" t="s">
        <v>482</v>
      </c>
      <c r="F20">
        <v>2014</v>
      </c>
      <c r="G20" s="1">
        <v>6.9884259259259259E-4</v>
      </c>
      <c r="H20" s="1">
        <v>7.7002314814814815E-4</v>
      </c>
      <c r="I20" s="1">
        <v>1.4688657407407406E-3</v>
      </c>
      <c r="K20">
        <v>107098</v>
      </c>
      <c r="L20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6.9884259259259259E-4</v>
      </c>
      <c r="M20" s="3">
        <f>IF(Table12[[#This Row],[run 1 times]]="",999.99,IF(Table12[[#This Row],[run 1 times]]=$S$3,0,MAX(0,ROUND(((Table12[[#This Row],[run 1 times]]-$S$3)/$S$3)*$S$6,2))))</f>
        <v>195.8</v>
      </c>
      <c r="N20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7.7002314814814815E-4</v>
      </c>
      <c r="O20" s="3">
        <f>IF(Table12[[#This Row],[run2 times]]="",999.99,IF(Table12[[#This Row],[run2 times]]=$T$3,0,MAX(0,ROUND(((Table12[[#This Row],[run2 times]]-$T$3)/$T$3)*$S$6,2))))</f>
        <v>236.31</v>
      </c>
      <c r="P20" s="2">
        <f>IF(OR(Table12[[#This Row],[run 1 times]]="",Table12[[#This Row],[run2 times]]=""),"",Table12[[#This Row],[run 1 times]]+Table12[[#This Row],[run2 times]])</f>
        <v>1.4688657407407406E-3</v>
      </c>
      <c r="Q20" s="3">
        <f>IF(Table12[[#This Row],[total time]]="",999.99,IF(Table12[[#This Row],[total time]]=$U$3,0,MAX(0,ROUND(((Table12[[#This Row],[total time]]-$U$3)/$U$3)*$S$6,2))))</f>
        <v>215.64</v>
      </c>
      <c r="W20">
        <v>18</v>
      </c>
      <c r="X20">
        <v>77</v>
      </c>
      <c r="Y20" t="s">
        <v>479</v>
      </c>
      <c r="Z20" t="s">
        <v>547</v>
      </c>
      <c r="AA20" t="s">
        <v>566</v>
      </c>
      <c r="AB20">
        <v>2010</v>
      </c>
      <c r="AC20" s="1">
        <v>50.29</v>
      </c>
      <c r="AD20" s="1">
        <v>48.49</v>
      </c>
      <c r="AE20" s="1">
        <v>1.1432870370370371E-3</v>
      </c>
      <c r="AG20">
        <v>89868</v>
      </c>
      <c r="AH20" s="2">
        <f>_xlfn.LET(_xlpm.x,Table1221[[#This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5.8206018518518513E-4</v>
      </c>
      <c r="AI20" s="3">
        <f>IF(Table1221[[#This Row],[run 1 times]]="",999.99,IF(Table1221[[#This Row],[run 1 times]]=$AO$3,0,MAX(0,ROUND(((Table1221[[#This Row],[run 1 times]]-$AO$3)/$AO$3)*$AO$6,2))))</f>
        <v>109.7</v>
      </c>
      <c r="AJ20" s="2">
        <f>_xlfn.LET(_xlpm.x,Table1221[[#This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5.6122685185185193E-4</v>
      </c>
      <c r="AK20" s="3">
        <f>IF(Table1221[[#This Row],[run2 times]]="",999.99,IF(Table1221[[#This Row],[run2 times]]=$AP$3,0,MAX(0,ROUND(((Table1221[[#This Row],[run2 times]]-$AP$3)/$AP$3)*$AO$6,2))))</f>
        <v>112.2</v>
      </c>
      <c r="AL20" s="2">
        <f>IF(OR(Table1221[[#This Row],[run 1 times]]="",Table1221[[#This Row],[run2 times]]=""),"",Table1221[[#This Row],[run 1 times]]+Table1221[[#This Row],[run2 times]])</f>
        <v>1.1432870370370371E-3</v>
      </c>
      <c r="AM20" s="3">
        <f>IF(Table1221[[#This Row],[total time]]="",999.99,IF(Table1221[[#This Row],[total time]]=$AQ$3,0,MAX(0,ROUND(((Table1221[[#This Row],[total time]]-$AQ$3)/$AQ$3)*$AO$6,2))))</f>
        <v>110.93</v>
      </c>
    </row>
    <row r="21" spans="1:39" x14ac:dyDescent="0.3">
      <c r="A21">
        <v>11</v>
      </c>
      <c r="B21">
        <v>11</v>
      </c>
      <c r="C21" t="s">
        <v>257</v>
      </c>
      <c r="D21" t="s">
        <v>522</v>
      </c>
      <c r="E21" t="s">
        <v>534</v>
      </c>
      <c r="F21">
        <v>2013</v>
      </c>
      <c r="G21" s="1">
        <v>7.3993055555555552E-4</v>
      </c>
      <c r="H21" s="1">
        <v>8.3043981481481478E-4</v>
      </c>
      <c r="I21" s="1">
        <v>1.5703703703703704E-3</v>
      </c>
      <c r="K21">
        <v>107308</v>
      </c>
      <c r="L21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7.3993055555555552E-4</v>
      </c>
      <c r="M21" s="3">
        <f>IF(Table12[[#This Row],[run 1 times]]="",999.99,IF(Table12[[#This Row],[run 1 times]]=$S$3,0,MAX(0,ROUND(((Table12[[#This Row],[run 1 times]]-$S$3)/$S$3)*$S$6,2))))</f>
        <v>250.23</v>
      </c>
      <c r="N21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8.3043981481481478E-4</v>
      </c>
      <c r="O21" s="3">
        <f>IF(Table12[[#This Row],[run2 times]]="",999.99,IF(Table12[[#This Row],[run2 times]]=$T$3,0,MAX(0,ROUND(((Table12[[#This Row],[run2 times]]-$T$3)/$T$3)*$S$6,2))))</f>
        <v>312.13</v>
      </c>
      <c r="P21" s="2">
        <f>IF(OR(Table12[[#This Row],[run 1 times]]="",Table12[[#This Row],[run2 times]]=""),"",Table12[[#This Row],[run 1 times]]+Table12[[#This Row],[run2 times]])</f>
        <v>1.5703703703703704E-3</v>
      </c>
      <c r="Q21" s="3">
        <f>IF(Table12[[#This Row],[total time]]="",999.99,IF(Table12[[#This Row],[total time]]=$U$3,0,MAX(0,ROUND(((Table12[[#This Row],[total time]]-$U$3)/$U$3)*$S$6,2))))</f>
        <v>280.99</v>
      </c>
      <c r="W21">
        <v>20</v>
      </c>
      <c r="X21">
        <v>79</v>
      </c>
      <c r="Y21" t="s">
        <v>257</v>
      </c>
      <c r="Z21" t="s">
        <v>552</v>
      </c>
      <c r="AA21" t="s">
        <v>567</v>
      </c>
      <c r="AB21">
        <v>2009</v>
      </c>
      <c r="AC21" s="1" t="s">
        <v>512</v>
      </c>
      <c r="AD21" s="1">
        <v>56.34</v>
      </c>
      <c r="AE21" s="1"/>
      <c r="AG21">
        <v>117692</v>
      </c>
      <c r="AH21" s="2" t="str">
        <f>_xlfn.LET(_xlpm.x,Table1221[[#This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21" s="3">
        <f>IF(Table1221[[#This Row],[run 1 times]]="",999.99,IF(Table1221[[#This Row],[run 1 times]]=$AO$3,0,MAX(0,ROUND(((Table1221[[#This Row],[run 1 times]]-$AO$3)/$AO$3)*$AO$6,2))))</f>
        <v>999.99</v>
      </c>
      <c r="AJ21" s="2">
        <f>_xlfn.LET(_xlpm.x,Table1221[[#This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6.520833333333334E-4</v>
      </c>
      <c r="AK21" s="3">
        <f>IF(Table1221[[#This Row],[run2 times]]="",999.99,IF(Table1221[[#This Row],[run2 times]]=$AP$3,0,MAX(0,ROUND(((Table1221[[#This Row],[run2 times]]-$AP$3)/$AP$3)*$AO$6,2))))</f>
        <v>248.54</v>
      </c>
      <c r="AL21" s="2" t="str">
        <f>IF(OR(Table1221[[#This Row],[run 1 times]]="",Table1221[[#This Row],[run2 times]]=""),"",Table1221[[#This Row],[run 1 times]]+Table1221[[#This Row],[run2 times]])</f>
        <v/>
      </c>
      <c r="AM21" s="3">
        <f>IF(Table1221[[#This Row],[total time]]="",999.99,IF(Table1221[[#This Row],[total time]]=$AQ$3,0,MAX(0,ROUND(((Table1221[[#This Row],[total time]]-$AQ$3)/$AQ$3)*$AO$6,2))))</f>
        <v>999.99</v>
      </c>
    </row>
    <row r="22" spans="1:39" x14ac:dyDescent="0.3">
      <c r="A22">
        <v>40</v>
      </c>
      <c r="B22">
        <v>40</v>
      </c>
      <c r="C22" t="s">
        <v>257</v>
      </c>
      <c r="D22" t="s">
        <v>522</v>
      </c>
      <c r="E22" t="s">
        <v>536</v>
      </c>
      <c r="F22">
        <v>2013</v>
      </c>
      <c r="G22" s="1">
        <v>9.4351851851851845E-4</v>
      </c>
      <c r="H22" s="1">
        <v>1.0076388888888889E-3</v>
      </c>
      <c r="I22" s="1">
        <v>1.9511574074074073E-3</v>
      </c>
      <c r="K22">
        <v>107310</v>
      </c>
      <c r="L22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9.4351851851851845E-4</v>
      </c>
      <c r="M22" s="3">
        <f>IF(Table12[[#This Row],[run 1 times]]="",999.99,IF(Table12[[#This Row],[run 1 times]]=$S$3,0,MAX(0,ROUND(((Table12[[#This Row],[run 1 times]]-$S$3)/$S$3)*$S$6,2))))</f>
        <v>519.94000000000005</v>
      </c>
      <c r="N22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1.0076388888888889E-3</v>
      </c>
      <c r="O22" s="3">
        <f>IF(Table12[[#This Row],[run2 times]]="",999.99,IF(Table12[[#This Row],[run2 times]]=$T$3,0,MAX(0,ROUND(((Table12[[#This Row],[run2 times]]-$T$3)/$T$3)*$S$6,2))))</f>
        <v>534.5</v>
      </c>
      <c r="P22" s="2">
        <f>IF(OR(Table12[[#This Row],[run 1 times]]="",Table12[[#This Row],[run2 times]]=""),"",Table12[[#This Row],[run 1 times]]+Table12[[#This Row],[run2 times]])</f>
        <v>1.9511574074074073E-3</v>
      </c>
      <c r="Q22" s="3">
        <f>IF(Table12[[#This Row],[total time]]="",999.99,IF(Table12[[#This Row],[total time]]=$U$3,0,MAX(0,ROUND(((Table12[[#This Row],[total time]]-$U$3)/$U$3)*$S$6,2))))</f>
        <v>526.13</v>
      </c>
      <c r="W22">
        <v>21</v>
      </c>
      <c r="X22">
        <v>80</v>
      </c>
      <c r="Y22" t="s">
        <v>24</v>
      </c>
      <c r="Z22" t="s">
        <v>547</v>
      </c>
      <c r="AA22" t="s">
        <v>568</v>
      </c>
      <c r="AB22">
        <v>2010</v>
      </c>
      <c r="AC22" s="1">
        <v>48.81</v>
      </c>
      <c r="AD22" s="1">
        <v>47.98</v>
      </c>
      <c r="AE22" s="1">
        <v>1.1202546296296295E-3</v>
      </c>
      <c r="AG22">
        <v>104647</v>
      </c>
      <c r="AH22" s="2">
        <f>_xlfn.LET(_xlpm.x,Table1221[[#This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5.6493055555555561E-4</v>
      </c>
      <c r="AI22" s="3">
        <f>IF(Table1221[[#This Row],[run 1 times]]="",999.99,IF(Table1221[[#This Row],[run 1 times]]=$AO$3,0,MAX(0,ROUND(((Table1221[[#This Row],[run 1 times]]-$AO$3)/$AO$3)*$AO$6,2))))</f>
        <v>84.99</v>
      </c>
      <c r="AJ22" s="2">
        <f>_xlfn.LET(_xlpm.x,Table1221[[#This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5.5532407407407407E-4</v>
      </c>
      <c r="AK22" s="3">
        <f>IF(Table1221[[#This Row],[run2 times]]="",999.99,IF(Table1221[[#This Row],[run2 times]]=$AP$3,0,MAX(0,ROUND(((Table1221[[#This Row],[run2 times]]-$AP$3)/$AP$3)*$AO$6,2))))</f>
        <v>103.34</v>
      </c>
      <c r="AL22" s="2">
        <f>IF(OR(Table1221[[#This Row],[run 1 times]]="",Table1221[[#This Row],[run2 times]]=""),"",Table1221[[#This Row],[run 1 times]]+Table1221[[#This Row],[run2 times]])</f>
        <v>1.1202546296296297E-3</v>
      </c>
      <c r="AM22" s="3">
        <f>IF(Table1221[[#This Row],[total time]]="",999.99,IF(Table1221[[#This Row],[total time]]=$AQ$3,0,MAX(0,ROUND(((Table1221[[#This Row],[total time]]-$AQ$3)/$AQ$3)*$AO$6,2))))</f>
        <v>93.98</v>
      </c>
    </row>
    <row r="23" spans="1:39" x14ac:dyDescent="0.3">
      <c r="A23">
        <v>53</v>
      </c>
      <c r="B23">
        <v>53</v>
      </c>
      <c r="C23" t="s">
        <v>257</v>
      </c>
      <c r="D23" t="s">
        <v>522</v>
      </c>
      <c r="E23" t="s">
        <v>526</v>
      </c>
      <c r="F23">
        <v>2012</v>
      </c>
      <c r="G23" s="1">
        <v>50.97</v>
      </c>
      <c r="H23" s="1">
        <v>53.92</v>
      </c>
      <c r="I23" s="1">
        <v>1.2140046296296295E-3</v>
      </c>
      <c r="K23">
        <v>107311</v>
      </c>
      <c r="L23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5.8993055555555556E-4</v>
      </c>
      <c r="M23" s="3">
        <f>IF(Table12[[#This Row],[run 1 times]]="",999.99,IF(Table12[[#This Row],[run 1 times]]=$S$3,0,MAX(0,ROUND(((Table12[[#This Row],[run 1 times]]-$S$3)/$S$3)*$S$6,2))))</f>
        <v>51.52</v>
      </c>
      <c r="N23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6.2407407407407409E-4</v>
      </c>
      <c r="O23" s="3">
        <f>IF(Table12[[#This Row],[run2 times]]="",999.99,IF(Table12[[#This Row],[run2 times]]=$T$3,0,MAX(0,ROUND(((Table12[[#This Row],[run2 times]]-$T$3)/$T$3)*$S$6,2))))</f>
        <v>53.16</v>
      </c>
      <c r="P23" s="2">
        <f>IF(OR(Table12[[#This Row],[run 1 times]]="",Table12[[#This Row],[run2 times]]=""),"",Table12[[#This Row],[run 1 times]]+Table12[[#This Row],[run2 times]])</f>
        <v>1.2140046296296295E-3</v>
      </c>
      <c r="Q23" s="3">
        <f>IF(Table12[[#This Row],[total time]]="",999.99,IF(Table12[[#This Row],[total time]]=$U$3,0,MAX(0,ROUND(((Table12[[#This Row],[total time]]-$U$3)/$U$3)*$S$6,2))))</f>
        <v>51.56</v>
      </c>
      <c r="W23">
        <v>22</v>
      </c>
      <c r="X23">
        <v>81</v>
      </c>
      <c r="Y23" t="s">
        <v>223</v>
      </c>
      <c r="Z23" t="s">
        <v>552</v>
      </c>
      <c r="AA23" t="s">
        <v>569</v>
      </c>
      <c r="AB23">
        <v>2008</v>
      </c>
      <c r="AC23" s="1">
        <v>44.08</v>
      </c>
      <c r="AD23" s="1">
        <v>43.35</v>
      </c>
      <c r="AE23" s="1">
        <v>1.0119212962962964E-3</v>
      </c>
      <c r="AG23">
        <v>85061</v>
      </c>
      <c r="AH23" s="2">
        <f>_xlfn.LET(_xlpm.x,Table1221[[#This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5.1018518518518513E-4</v>
      </c>
      <c r="AI23" s="3">
        <f>IF(Table1221[[#This Row],[run 1 times]]="",999.99,IF(Table1221[[#This Row],[run 1 times]]=$AO$3,0,MAX(0,ROUND(((Table1221[[#This Row],[run 1 times]]-$AO$3)/$AO$3)*$AO$6,2))))</f>
        <v>6.01</v>
      </c>
      <c r="AJ23" s="2">
        <f>_xlfn.LET(_xlpm.x,Table1221[[#This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5.0173611111111111E-4</v>
      </c>
      <c r="AK23" s="3">
        <f>IF(Table1221[[#This Row],[run2 times]]="",999.99,IF(Table1221[[#This Row],[run2 times]]=$AP$3,0,MAX(0,ROUND(((Table1221[[#This Row],[run2 times]]-$AP$3)/$AP$3)*$AO$6,2))))</f>
        <v>22.93</v>
      </c>
      <c r="AL23" s="2">
        <f>IF(OR(Table1221[[#This Row],[run 1 times]]="",Table1221[[#This Row],[run2 times]]=""),"",Table1221[[#This Row],[run 1 times]]+Table1221[[#This Row],[run2 times]])</f>
        <v>1.0119212962962964E-3</v>
      </c>
      <c r="AM23" s="3">
        <f>IF(Table1221[[#This Row],[total time]]="",999.99,IF(Table1221[[#This Row],[total time]]=$AQ$3,0,MAX(0,ROUND(((Table1221[[#This Row],[total time]]-$AQ$3)/$AQ$3)*$AO$6,2))))</f>
        <v>14.3</v>
      </c>
    </row>
    <row r="24" spans="1:39" x14ac:dyDescent="0.3">
      <c r="A24">
        <v>43</v>
      </c>
      <c r="B24">
        <v>43</v>
      </c>
      <c r="C24" t="s">
        <v>479</v>
      </c>
      <c r="D24" t="s">
        <v>480</v>
      </c>
      <c r="E24" t="s">
        <v>481</v>
      </c>
      <c r="F24">
        <v>2014</v>
      </c>
      <c r="G24" s="1">
        <v>58.46</v>
      </c>
      <c r="H24" s="1">
        <v>7.1307870370370373E-4</v>
      </c>
      <c r="I24" s="1">
        <v>1.389699074074074E-3</v>
      </c>
      <c r="K24">
        <v>107904</v>
      </c>
      <c r="L24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6.766203703703704E-4</v>
      </c>
      <c r="M24" s="3">
        <f>IF(Table12[[#This Row],[run 1 times]]="",999.99,IF(Table12[[#This Row],[run 1 times]]=$S$3,0,MAX(0,ROUND(((Table12[[#This Row],[run 1 times]]-$S$3)/$S$3)*$S$6,2))))</f>
        <v>166.36</v>
      </c>
      <c r="N24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7.1307870370370373E-4</v>
      </c>
      <c r="O24" s="3">
        <f>IF(Table12[[#This Row],[run2 times]]="",999.99,IF(Table12[[#This Row],[run2 times]]=$T$3,0,MAX(0,ROUND(((Table12[[#This Row],[run2 times]]-$T$3)/$T$3)*$S$6,2))))</f>
        <v>164.85</v>
      </c>
      <c r="P24" s="2">
        <f>IF(OR(Table12[[#This Row],[run 1 times]]="",Table12[[#This Row],[run2 times]]=""),"",Table12[[#This Row],[run 1 times]]+Table12[[#This Row],[run2 times]])</f>
        <v>1.389699074074074E-3</v>
      </c>
      <c r="Q24" s="3">
        <f>IF(Table12[[#This Row],[total time]]="",999.99,IF(Table12[[#This Row],[total time]]=$U$3,0,MAX(0,ROUND(((Table12[[#This Row],[total time]]-$U$3)/$U$3)*$S$6,2))))</f>
        <v>164.67</v>
      </c>
      <c r="W24">
        <v>23</v>
      </c>
      <c r="X24">
        <v>82</v>
      </c>
      <c r="Y24" t="s">
        <v>257</v>
      </c>
      <c r="Z24" t="s">
        <v>547</v>
      </c>
      <c r="AA24" t="s">
        <v>570</v>
      </c>
      <c r="AB24">
        <v>2010</v>
      </c>
      <c r="AC24" s="1">
        <v>50.51</v>
      </c>
      <c r="AD24" s="1">
        <v>50.31</v>
      </c>
      <c r="AE24" s="1">
        <v>1.166898148148148E-3</v>
      </c>
      <c r="AG24">
        <v>102723</v>
      </c>
      <c r="AH24" s="2">
        <f>_xlfn.LET(_xlpm.x,Table1221[[#This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5.8460648148148141E-4</v>
      </c>
      <c r="AI24" s="3">
        <f>IF(Table1221[[#This Row],[run 1 times]]="",999.99,IF(Table1221[[#This Row],[run 1 times]]=$AO$3,0,MAX(0,ROUND(((Table1221[[#This Row],[run 1 times]]-$AO$3)/$AO$3)*$AO$6,2))))</f>
        <v>113.37</v>
      </c>
      <c r="AJ24" s="2">
        <f>_xlfn.LET(_xlpm.x,Table1221[[#This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5.8229166666666672E-4</v>
      </c>
      <c r="AK24" s="3">
        <f>IF(Table1221[[#This Row],[run2 times]]="",999.99,IF(Table1221[[#This Row],[run2 times]]=$AP$3,0,MAX(0,ROUND(((Table1221[[#This Row],[run2 times]]-$AP$3)/$AP$3)*$AO$6,2))))</f>
        <v>143.81</v>
      </c>
      <c r="AL24" s="2">
        <f>IF(OR(Table1221[[#This Row],[run 1 times]]="",Table1221[[#This Row],[run2 times]]=""),"",Table1221[[#This Row],[run 1 times]]+Table1221[[#This Row],[run2 times]])</f>
        <v>1.1668981481481482E-3</v>
      </c>
      <c r="AM24" s="3">
        <f>IF(Table1221[[#This Row],[total time]]="",999.99,IF(Table1221[[#This Row],[total time]]=$AQ$3,0,MAX(0,ROUND(((Table1221[[#This Row],[total time]]-$AQ$3)/$AQ$3)*$AO$6,2))))</f>
        <v>128.29</v>
      </c>
    </row>
    <row r="25" spans="1:39" x14ac:dyDescent="0.3">
      <c r="A25">
        <v>54</v>
      </c>
      <c r="B25">
        <v>54</v>
      </c>
      <c r="C25" t="s">
        <v>479</v>
      </c>
      <c r="D25" t="s">
        <v>480</v>
      </c>
      <c r="E25" t="s">
        <v>504</v>
      </c>
      <c r="F25">
        <v>2014</v>
      </c>
      <c r="G25" s="1">
        <v>9.167824074074075E-4</v>
      </c>
      <c r="H25" s="1">
        <v>9.465277777777778E-4</v>
      </c>
      <c r="I25" s="1">
        <v>1.8633101851851853E-3</v>
      </c>
      <c r="K25">
        <v>108181</v>
      </c>
      <c r="L25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9.167824074074075E-4</v>
      </c>
      <c r="M25" s="3">
        <f>IF(Table12[[#This Row],[run 1 times]]="",999.99,IF(Table12[[#This Row],[run 1 times]]=$S$3,0,MAX(0,ROUND(((Table12[[#This Row],[run 1 times]]-$S$3)/$S$3)*$S$6,2))))</f>
        <v>484.52</v>
      </c>
      <c r="N25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9.465277777777778E-4</v>
      </c>
      <c r="O25" s="3">
        <f>IF(Table12[[#This Row],[run2 times]]="",999.99,IF(Table12[[#This Row],[run2 times]]=$T$3,0,MAX(0,ROUND(((Table12[[#This Row],[run2 times]]-$T$3)/$T$3)*$S$6,2))))</f>
        <v>457.81</v>
      </c>
      <c r="P25" s="2">
        <f>IF(OR(Table12[[#This Row],[run 1 times]]="",Table12[[#This Row],[run2 times]]=""),"",Table12[[#This Row],[run 1 times]]+Table12[[#This Row],[run2 times]])</f>
        <v>1.8633101851851853E-3</v>
      </c>
      <c r="Q25" s="3">
        <f>IF(Table12[[#This Row],[total time]]="",999.99,IF(Table12[[#This Row],[total time]]=$U$3,0,MAX(0,ROUND(((Table12[[#This Row],[total time]]-$U$3)/$U$3)*$S$6,2))))</f>
        <v>469.58</v>
      </c>
      <c r="W25">
        <v>24</v>
      </c>
      <c r="X25">
        <v>83</v>
      </c>
      <c r="Y25" t="s">
        <v>257</v>
      </c>
      <c r="Z25" t="s">
        <v>547</v>
      </c>
      <c r="AA25" t="s">
        <v>571</v>
      </c>
      <c r="AB25">
        <v>2010</v>
      </c>
      <c r="AC25" s="1">
        <v>6.9837962962962963E-4</v>
      </c>
      <c r="AD25" s="1" t="s">
        <v>512</v>
      </c>
      <c r="AE25" s="1"/>
      <c r="AG25">
        <v>92167</v>
      </c>
      <c r="AH25" s="2">
        <f>_xlfn.LET(_xlpm.x,Table1221[[#This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6.9837962962962963E-4</v>
      </c>
      <c r="AI25" s="3">
        <f>IF(Table1221[[#This Row],[run 1 times]]="",999.99,IF(Table1221[[#This Row],[run 1 times]]=$AO$3,0,MAX(0,ROUND(((Table1221[[#This Row],[run 1 times]]-$AO$3)/$AO$3)*$AO$6,2))))</f>
        <v>277.51</v>
      </c>
      <c r="AJ25" s="2" t="str">
        <f>_xlfn.LET(_xlpm.x,Table1221[[#This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25" s="3">
        <f>IF(Table1221[[#This Row],[run2 times]]="",999.99,IF(Table1221[[#This Row],[run2 times]]=$AP$3,0,MAX(0,ROUND(((Table1221[[#This Row],[run2 times]]-$AP$3)/$AP$3)*$AO$6,2))))</f>
        <v>999.99</v>
      </c>
      <c r="AL25" s="2" t="str">
        <f>IF(OR(Table1221[[#This Row],[run 1 times]]="",Table1221[[#This Row],[run2 times]]=""),"",Table1221[[#This Row],[run 1 times]]+Table1221[[#This Row],[run2 times]])</f>
        <v/>
      </c>
      <c r="AM25" s="3">
        <f>IF(Table1221[[#This Row],[total time]]="",999.99,IF(Table1221[[#This Row],[total time]]=$AQ$3,0,MAX(0,ROUND(((Table1221[[#This Row],[total time]]-$AQ$3)/$AQ$3)*$AO$6,2))))</f>
        <v>999.99</v>
      </c>
    </row>
    <row r="26" spans="1:39" x14ac:dyDescent="0.3">
      <c r="A26">
        <v>44</v>
      </c>
      <c r="B26">
        <v>44</v>
      </c>
      <c r="C26" t="s">
        <v>479</v>
      </c>
      <c r="D26" t="s">
        <v>480</v>
      </c>
      <c r="E26" t="s">
        <v>513</v>
      </c>
      <c r="F26">
        <v>2014</v>
      </c>
      <c r="G26" s="1" t="s">
        <v>512</v>
      </c>
      <c r="H26" s="1">
        <v>7.3703703703703702E-4</v>
      </c>
      <c r="I26" s="1"/>
      <c r="K26">
        <v>108182</v>
      </c>
      <c r="L26" s="2" t="str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26" s="3">
        <f>IF(Table12[[#This Row],[run 1 times]]="",999.99,IF(Table12[[#This Row],[run 1 times]]=$S$3,0,MAX(0,ROUND(((Table12[[#This Row],[run 1 times]]-$S$3)/$S$3)*$S$6,2))))</f>
        <v>999.99</v>
      </c>
      <c r="N26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7.3703703703703702E-4</v>
      </c>
      <c r="O26" s="3">
        <f>IF(Table12[[#This Row],[run2 times]]="",999.99,IF(Table12[[#This Row],[run2 times]]=$T$3,0,MAX(0,ROUND(((Table12[[#This Row],[run2 times]]-$T$3)/$T$3)*$S$6,2))))</f>
        <v>194.92</v>
      </c>
      <c r="P26" s="2" t="str">
        <f>IF(OR(Table12[[#This Row],[run 1 times]]="",Table12[[#This Row],[run2 times]]=""),"",Table12[[#This Row],[run 1 times]]+Table12[[#This Row],[run2 times]])</f>
        <v/>
      </c>
      <c r="Q26" s="3">
        <f>IF(Table12[[#This Row],[total time]]="",999.99,IF(Table12[[#This Row],[total time]]=$U$3,0,MAX(0,ROUND(((Table12[[#This Row],[total time]]-$U$3)/$U$3)*$S$6,2))))</f>
        <v>999.99</v>
      </c>
      <c r="W26">
        <v>25</v>
      </c>
      <c r="X26">
        <v>84</v>
      </c>
      <c r="Y26" t="s">
        <v>24</v>
      </c>
      <c r="Z26" t="s">
        <v>572</v>
      </c>
      <c r="AA26" t="s">
        <v>573</v>
      </c>
      <c r="AB26">
        <v>2008</v>
      </c>
      <c r="AC26" s="1">
        <v>45.41</v>
      </c>
      <c r="AD26" s="1">
        <v>44.4</v>
      </c>
      <c r="AE26" s="1">
        <v>1.0394675925925927E-3</v>
      </c>
      <c r="AG26">
        <v>87553</v>
      </c>
      <c r="AH26" s="2">
        <f>_xlfn.LET(_xlpm.x,Table1221[[#This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5.2557870370370367E-4</v>
      </c>
      <c r="AI26" s="3">
        <f>IF(Table1221[[#This Row],[run 1 times]]="",999.99,IF(Table1221[[#This Row],[run 1 times]]=$AO$3,0,MAX(0,ROUND(((Table1221[[#This Row],[run 1 times]]-$AO$3)/$AO$3)*$AO$6,2))))</f>
        <v>28.22</v>
      </c>
      <c r="AJ26" s="2">
        <f>_xlfn.LET(_xlpm.x,Table1221[[#This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5.1388888888888892E-4</v>
      </c>
      <c r="AK26" s="3">
        <f>IF(Table1221[[#This Row],[run2 times]]="",999.99,IF(Table1221[[#This Row],[run2 times]]=$AP$3,0,MAX(0,ROUND(((Table1221[[#This Row],[run2 times]]-$AP$3)/$AP$3)*$AO$6,2))))</f>
        <v>41.16</v>
      </c>
      <c r="AL26" s="2">
        <f>IF(OR(Table1221[[#This Row],[run 1 times]]="",Table1221[[#This Row],[run2 times]]=""),"",Table1221[[#This Row],[run 1 times]]+Table1221[[#This Row],[run2 times]])</f>
        <v>1.0394675925925927E-3</v>
      </c>
      <c r="AM26" s="3">
        <f>IF(Table1221[[#This Row],[total time]]="",999.99,IF(Table1221[[#This Row],[total time]]=$AQ$3,0,MAX(0,ROUND(((Table1221[[#This Row],[total time]]-$AQ$3)/$AQ$3)*$AO$6,2))))</f>
        <v>34.56</v>
      </c>
    </row>
    <row r="27" spans="1:39" x14ac:dyDescent="0.3">
      <c r="A27">
        <v>42</v>
      </c>
      <c r="B27">
        <v>42</v>
      </c>
      <c r="C27" t="s">
        <v>479</v>
      </c>
      <c r="D27" t="s">
        <v>480</v>
      </c>
      <c r="E27" t="s">
        <v>521</v>
      </c>
      <c r="F27">
        <v>2014</v>
      </c>
      <c r="G27" s="1">
        <v>55.16</v>
      </c>
      <c r="H27" s="1" t="s">
        <v>512</v>
      </c>
      <c r="I27" s="1"/>
      <c r="K27">
        <v>108184</v>
      </c>
      <c r="L27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6.3842592592592586E-4</v>
      </c>
      <c r="M27" s="3">
        <f>IF(Table12[[#This Row],[run 1 times]]="",999.99,IF(Table12[[#This Row],[run 1 times]]=$S$3,0,MAX(0,ROUND(((Table12[[#This Row],[run 1 times]]-$S$3)/$S$3)*$S$6,2))))</f>
        <v>115.76</v>
      </c>
      <c r="N27" s="2" t="str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27" s="3">
        <f>IF(Table12[[#This Row],[run2 times]]="",999.99,IF(Table12[[#This Row],[run2 times]]=$T$3,0,MAX(0,ROUND(((Table12[[#This Row],[run2 times]]-$T$3)/$T$3)*$S$6,2))))</f>
        <v>999.99</v>
      </c>
      <c r="P27" s="2" t="str">
        <f>IF(OR(Table12[[#This Row],[run 1 times]]="",Table12[[#This Row],[run2 times]]=""),"",Table12[[#This Row],[run 1 times]]+Table12[[#This Row],[run2 times]])</f>
        <v/>
      </c>
      <c r="Q27" s="3">
        <f>IF(Table12[[#This Row],[total time]]="",999.99,IF(Table12[[#This Row],[total time]]=$U$3,0,MAX(0,ROUND(((Table12[[#This Row],[total time]]-$U$3)/$U$3)*$S$6,2))))</f>
        <v>999.99</v>
      </c>
      <c r="W27">
        <v>26</v>
      </c>
      <c r="X27">
        <v>85</v>
      </c>
      <c r="Y27" t="s">
        <v>223</v>
      </c>
      <c r="Z27" t="s">
        <v>547</v>
      </c>
      <c r="AA27" t="s">
        <v>574</v>
      </c>
      <c r="AB27">
        <v>2010</v>
      </c>
      <c r="AC27" s="1" t="s">
        <v>512</v>
      </c>
      <c r="AD27" s="1">
        <v>44.58</v>
      </c>
      <c r="AE27" s="1"/>
      <c r="AG27">
        <v>93284</v>
      </c>
      <c r="AH27" s="2" t="str">
        <f>_xlfn.LET(_xlpm.x,Table1221[[#This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27" s="3">
        <f>IF(Table1221[[#This Row],[run 1 times]]="",999.99,IF(Table1221[[#This Row],[run 1 times]]=$AO$3,0,MAX(0,ROUND(((Table1221[[#This Row],[run 1 times]]-$AO$3)/$AO$3)*$AO$6,2))))</f>
        <v>999.99</v>
      </c>
      <c r="AJ27" s="2">
        <f>_xlfn.LET(_xlpm.x,Table1221[[#This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5.1597222222222224E-4</v>
      </c>
      <c r="AK27" s="3">
        <f>IF(Table1221[[#This Row],[run2 times]]="",999.99,IF(Table1221[[#This Row],[run2 times]]=$AP$3,0,MAX(0,ROUND(((Table1221[[#This Row],[run2 times]]-$AP$3)/$AP$3)*$AO$6,2))))</f>
        <v>44.29</v>
      </c>
      <c r="AL27" s="2" t="str">
        <f>IF(OR(Table1221[[#This Row],[run 1 times]]="",Table1221[[#This Row],[run2 times]]=""),"",Table1221[[#This Row],[run 1 times]]+Table1221[[#This Row],[run2 times]])</f>
        <v/>
      </c>
      <c r="AM27" s="3">
        <f>IF(Table1221[[#This Row],[total time]]="",999.99,IF(Table1221[[#This Row],[total time]]=$AQ$3,0,MAX(0,ROUND(((Table1221[[#This Row],[total time]]-$AQ$3)/$AQ$3)*$AO$6,2))))</f>
        <v>999.99</v>
      </c>
    </row>
    <row r="28" spans="1:39" x14ac:dyDescent="0.3">
      <c r="A28">
        <v>37</v>
      </c>
      <c r="B28">
        <v>37</v>
      </c>
      <c r="C28" t="s">
        <v>487</v>
      </c>
      <c r="D28" t="s">
        <v>480</v>
      </c>
      <c r="E28" t="s">
        <v>514</v>
      </c>
      <c r="F28">
        <v>2014</v>
      </c>
      <c r="G28" s="1" t="s">
        <v>512</v>
      </c>
      <c r="H28" s="1" t="s">
        <v>512</v>
      </c>
      <c r="I28" s="1"/>
      <c r="K28">
        <v>108289</v>
      </c>
      <c r="L28" s="2" t="str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28" s="3">
        <f>IF(Table12[[#This Row],[run 1 times]]="",999.99,IF(Table12[[#This Row],[run 1 times]]=$S$3,0,MAX(0,ROUND(((Table12[[#This Row],[run 1 times]]-$S$3)/$S$3)*$S$6,2))))</f>
        <v>999.99</v>
      </c>
      <c r="N28" s="2" t="str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28" s="3">
        <f>IF(Table12[[#This Row],[run2 times]]="",999.99,IF(Table12[[#This Row],[run2 times]]=$T$3,0,MAX(0,ROUND(((Table12[[#This Row],[run2 times]]-$T$3)/$T$3)*$S$6,2))))</f>
        <v>999.99</v>
      </c>
      <c r="P28" s="2" t="str">
        <f>IF(OR(Table12[[#This Row],[run 1 times]]="",Table12[[#This Row],[run2 times]]=""),"",Table12[[#This Row],[run 1 times]]+Table12[[#This Row],[run2 times]])</f>
        <v/>
      </c>
      <c r="Q28" s="3">
        <f>IF(Table12[[#This Row],[total time]]="",999.99,IF(Table12[[#This Row],[total time]]=$U$3,0,MAX(0,ROUND(((Table12[[#This Row],[total time]]-$U$3)/$U$3)*$S$6,2))))</f>
        <v>999.99</v>
      </c>
      <c r="W28">
        <v>27</v>
      </c>
      <c r="X28">
        <v>86</v>
      </c>
      <c r="Y28" t="s">
        <v>479</v>
      </c>
      <c r="Z28" t="s">
        <v>547</v>
      </c>
      <c r="AA28" t="s">
        <v>575</v>
      </c>
      <c r="AB28">
        <v>2011</v>
      </c>
      <c r="AC28" s="1">
        <v>43.72</v>
      </c>
      <c r="AD28" s="1">
        <v>42.03</v>
      </c>
      <c r="AE28" s="1">
        <v>9.9247685185185181E-4</v>
      </c>
      <c r="AG28">
        <v>94621</v>
      </c>
      <c r="AH28" s="2">
        <f>_xlfn.LET(_xlpm.x,Table1221[[#This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5.0601851851851849E-4</v>
      </c>
      <c r="AI28" s="3">
        <f>IF(Table1221[[#This Row],[run 1 times]]="",999.99,IF(Table1221[[#This Row],[run 1 times]]=$AO$3,0,MAX(0,ROUND(((Table1221[[#This Row],[run 1 times]]-$AO$3)/$AO$3)*$AO$6,2))))</f>
        <v>0</v>
      </c>
      <c r="AJ28" s="2">
        <f>_xlfn.LET(_xlpm.x,Table1221[[#This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4.8645833333333337E-4</v>
      </c>
      <c r="AK28" s="3">
        <f>IF(Table1221[[#This Row],[run2 times]]="",999.99,IF(Table1221[[#This Row],[run2 times]]=$AP$3,0,MAX(0,ROUND(((Table1221[[#This Row],[run2 times]]-$AP$3)/$AP$3)*$AO$6,2))))</f>
        <v>0</v>
      </c>
      <c r="AL28" s="2">
        <f>IF(OR(Table1221[[#This Row],[run 1 times]]="",Table1221[[#This Row],[run2 times]]=""),"",Table1221[[#This Row],[run 1 times]]+Table1221[[#This Row],[run2 times]])</f>
        <v>9.9247685185185181E-4</v>
      </c>
      <c r="AM28" s="3">
        <f>IF(Table1221[[#This Row],[total time]]="",999.99,IF(Table1221[[#This Row],[total time]]=$AQ$3,0,MAX(0,ROUND(((Table1221[[#This Row],[total time]]-$AQ$3)/$AQ$3)*$AO$6,2))))</f>
        <v>0</v>
      </c>
    </row>
    <row r="29" spans="1:39" x14ac:dyDescent="0.3">
      <c r="A29">
        <v>21</v>
      </c>
      <c r="B29">
        <v>21</v>
      </c>
      <c r="C29" t="s">
        <v>24</v>
      </c>
      <c r="D29" t="s">
        <v>480</v>
      </c>
      <c r="E29" t="s">
        <v>498</v>
      </c>
      <c r="F29">
        <v>2014</v>
      </c>
      <c r="G29" s="1">
        <v>7.7916666666666661E-4</v>
      </c>
      <c r="H29" s="1">
        <v>8.6469907407407415E-4</v>
      </c>
      <c r="I29" s="1">
        <v>1.6438657407407407E-3</v>
      </c>
      <c r="K29">
        <v>108671</v>
      </c>
      <c r="L29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7.7916666666666661E-4</v>
      </c>
      <c r="M29" s="3">
        <f>IF(Table12[[#This Row],[run 1 times]]="",999.99,IF(Table12[[#This Row],[run 1 times]]=$S$3,0,MAX(0,ROUND(((Table12[[#This Row],[run 1 times]]-$S$3)/$S$3)*$S$6,2))))</f>
        <v>302.20999999999998</v>
      </c>
      <c r="N29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8.6469907407407415E-4</v>
      </c>
      <c r="O29" s="3">
        <f>IF(Table12[[#This Row],[run2 times]]="",999.99,IF(Table12[[#This Row],[run2 times]]=$T$3,0,MAX(0,ROUND(((Table12[[#This Row],[run2 times]]-$T$3)/$T$3)*$S$6,2))))</f>
        <v>355.12</v>
      </c>
      <c r="P29" s="2">
        <f>IF(OR(Table12[[#This Row],[run 1 times]]="",Table12[[#This Row],[run2 times]]=""),"",Table12[[#This Row],[run 1 times]]+Table12[[#This Row],[run2 times]])</f>
        <v>1.6438657407407409E-3</v>
      </c>
      <c r="Q29" s="3">
        <f>IF(Table12[[#This Row],[total time]]="",999.99,IF(Table12[[#This Row],[total time]]=$U$3,0,MAX(0,ROUND(((Table12[[#This Row],[total time]]-$U$3)/$U$3)*$S$6,2))))</f>
        <v>328.3</v>
      </c>
      <c r="W29">
        <v>28</v>
      </c>
      <c r="X29">
        <v>87</v>
      </c>
      <c r="Y29" t="s">
        <v>257</v>
      </c>
      <c r="Z29" t="s">
        <v>547</v>
      </c>
      <c r="AA29" t="s">
        <v>576</v>
      </c>
      <c r="AB29">
        <v>2010</v>
      </c>
      <c r="AC29" s="1" t="s">
        <v>512</v>
      </c>
      <c r="AD29" s="1">
        <v>46.42</v>
      </c>
      <c r="AE29" s="1"/>
      <c r="AG29">
        <v>92169</v>
      </c>
      <c r="AH29" s="2" t="str">
        <f>_xlfn.LET(_xlpm.x,Table1221[[#This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29" s="3">
        <f>IF(Table1221[[#This Row],[run 1 times]]="",999.99,IF(Table1221[[#This Row],[run 1 times]]=$AO$3,0,MAX(0,ROUND(((Table1221[[#This Row],[run 1 times]]-$AO$3)/$AO$3)*$AO$6,2))))</f>
        <v>999.99</v>
      </c>
      <c r="AJ29" s="2">
        <f>_xlfn.LET(_xlpm.x,Table1221[[#This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5.3726851851851852E-4</v>
      </c>
      <c r="AK29" s="3">
        <f>IF(Table1221[[#This Row],[run2 times]]="",999.99,IF(Table1221[[#This Row],[run2 times]]=$AP$3,0,MAX(0,ROUND(((Table1221[[#This Row],[run2 times]]-$AP$3)/$AP$3)*$AO$6,2))))</f>
        <v>76.25</v>
      </c>
      <c r="AL29" s="2" t="str">
        <f>IF(OR(Table1221[[#This Row],[run 1 times]]="",Table1221[[#This Row],[run2 times]]=""),"",Table1221[[#This Row],[run 1 times]]+Table1221[[#This Row],[run2 times]])</f>
        <v/>
      </c>
      <c r="AM29" s="3">
        <f>IF(Table1221[[#This Row],[total time]]="",999.99,IF(Table1221[[#This Row],[total time]]=$AQ$3,0,MAX(0,ROUND(((Table1221[[#This Row],[total time]]-$AQ$3)/$AQ$3)*$AO$6,2))))</f>
        <v>999.99</v>
      </c>
    </row>
    <row r="30" spans="1:39" x14ac:dyDescent="0.3">
      <c r="A30">
        <v>5</v>
      </c>
      <c r="B30">
        <v>5</v>
      </c>
      <c r="C30" t="s">
        <v>24</v>
      </c>
      <c r="D30" t="s">
        <v>480</v>
      </c>
      <c r="E30" t="s">
        <v>509</v>
      </c>
      <c r="F30">
        <v>2014</v>
      </c>
      <c r="G30" s="1" t="s">
        <v>510</v>
      </c>
      <c r="H30" s="1" t="s">
        <v>510</v>
      </c>
      <c r="I30" s="1"/>
      <c r="K30">
        <v>108686</v>
      </c>
      <c r="L30" s="2" t="str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30" s="3">
        <f>IF(Table12[[#This Row],[run 1 times]]="",999.99,IF(Table12[[#This Row],[run 1 times]]=$S$3,0,MAX(0,ROUND(((Table12[[#This Row],[run 1 times]]-$S$3)/$S$3)*$S$6,2))))</f>
        <v>999.99</v>
      </c>
      <c r="N30" s="2" t="str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30" s="3">
        <f>IF(Table12[[#This Row],[run2 times]]="",999.99,IF(Table12[[#This Row],[run2 times]]=$T$3,0,MAX(0,ROUND(((Table12[[#This Row],[run2 times]]-$T$3)/$T$3)*$S$6,2))))</f>
        <v>999.99</v>
      </c>
      <c r="P30" s="2" t="str">
        <f>IF(OR(Table12[[#This Row],[run 1 times]]="",Table12[[#This Row],[run2 times]]=""),"",Table12[[#This Row],[run 1 times]]+Table12[[#This Row],[run2 times]])</f>
        <v/>
      </c>
      <c r="Q30" s="3">
        <f>IF(Table12[[#This Row],[total time]]="",999.99,IF(Table12[[#This Row],[total time]]=$U$3,0,MAX(0,ROUND(((Table12[[#This Row],[total time]]-$U$3)/$U$3)*$S$6,2))))</f>
        <v>999.99</v>
      </c>
      <c r="W30">
        <v>29</v>
      </c>
      <c r="X30">
        <v>88</v>
      </c>
      <c r="Y30" t="s">
        <v>487</v>
      </c>
      <c r="Z30" t="s">
        <v>547</v>
      </c>
      <c r="AA30" t="s">
        <v>577</v>
      </c>
      <c r="AB30">
        <v>2011</v>
      </c>
      <c r="AC30" s="1">
        <v>56.17</v>
      </c>
      <c r="AD30" s="1">
        <v>53.05</v>
      </c>
      <c r="AE30" s="1">
        <v>1.2641203703703703E-3</v>
      </c>
      <c r="AG30">
        <v>91878</v>
      </c>
      <c r="AH30" s="2">
        <f>_xlfn.LET(_xlpm.x,Table1221[[#This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6.5011574074074071E-4</v>
      </c>
      <c r="AI30" s="3">
        <f>IF(Table1221[[#This Row],[run 1 times]]="",999.99,IF(Table1221[[#This Row],[run 1 times]]=$AO$3,0,MAX(0,ROUND(((Table1221[[#This Row],[run 1 times]]-$AO$3)/$AO$3)*$AO$6,2))))</f>
        <v>207.88</v>
      </c>
      <c r="AJ30" s="2">
        <f>_xlfn.LET(_xlpm.x,Table1221[[#This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6.140046296296296E-4</v>
      </c>
      <c r="AK30" s="3">
        <f>IF(Table1221[[#This Row],[run2 times]]="",999.99,IF(Table1221[[#This Row],[run2 times]]=$AP$3,0,MAX(0,ROUND(((Table1221[[#This Row],[run2 times]]-$AP$3)/$AP$3)*$AO$6,2))))</f>
        <v>191.4</v>
      </c>
      <c r="AL30" s="2">
        <f>IF(OR(Table1221[[#This Row],[run 1 times]]="",Table1221[[#This Row],[run2 times]]=""),"",Table1221[[#This Row],[run 1 times]]+Table1221[[#This Row],[run2 times]])</f>
        <v>1.2641203703703703E-3</v>
      </c>
      <c r="AM30" s="3">
        <f>IF(Table1221[[#This Row],[total time]]="",999.99,IF(Table1221[[#This Row],[total time]]=$AQ$3,0,MAX(0,ROUND(((Table1221[[#This Row],[total time]]-$AQ$3)/$AQ$3)*$AO$6,2))))</f>
        <v>199.8</v>
      </c>
    </row>
    <row r="31" spans="1:39" x14ac:dyDescent="0.3">
      <c r="A31">
        <v>4</v>
      </c>
      <c r="B31">
        <v>4</v>
      </c>
      <c r="C31" t="s">
        <v>487</v>
      </c>
      <c r="D31" t="s">
        <v>480</v>
      </c>
      <c r="E31" t="s">
        <v>488</v>
      </c>
      <c r="F31">
        <v>2014</v>
      </c>
      <c r="G31" s="1">
        <v>58.7</v>
      </c>
      <c r="H31" s="1">
        <v>8.0960648148148146E-4</v>
      </c>
      <c r="I31" s="1">
        <v>1.4890046296296296E-3</v>
      </c>
      <c r="K31">
        <v>108842</v>
      </c>
      <c r="L31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6.7939814814814816E-4</v>
      </c>
      <c r="M31" s="3">
        <f>IF(Table12[[#This Row],[run 1 times]]="",999.99,IF(Table12[[#This Row],[run 1 times]]=$S$3,0,MAX(0,ROUND(((Table12[[#This Row],[run 1 times]]-$S$3)/$S$3)*$S$6,2))))</f>
        <v>170.04</v>
      </c>
      <c r="N31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8.0960648148148146E-4</v>
      </c>
      <c r="O31" s="3">
        <f>IF(Table12[[#This Row],[run2 times]]="",999.99,IF(Table12[[#This Row],[run2 times]]=$T$3,0,MAX(0,ROUND(((Table12[[#This Row],[run2 times]]-$T$3)/$T$3)*$S$6,2))))</f>
        <v>285.99</v>
      </c>
      <c r="P31" s="2">
        <f>IF(OR(Table12[[#This Row],[run 1 times]]="",Table12[[#This Row],[run2 times]]=""),"",Table12[[#This Row],[run 1 times]]+Table12[[#This Row],[run2 times]])</f>
        <v>1.4890046296296296E-3</v>
      </c>
      <c r="Q31" s="3">
        <f>IF(Table12[[#This Row],[total time]]="",999.99,IF(Table12[[#This Row],[total time]]=$U$3,0,MAX(0,ROUND(((Table12[[#This Row],[total time]]-$U$3)/$U$3)*$S$6,2))))</f>
        <v>228.6</v>
      </c>
      <c r="W31">
        <v>30</v>
      </c>
      <c r="X31">
        <v>89</v>
      </c>
      <c r="Y31" t="s">
        <v>257</v>
      </c>
      <c r="Z31" t="s">
        <v>547</v>
      </c>
      <c r="AA31" t="s">
        <v>578</v>
      </c>
      <c r="AB31">
        <v>2010</v>
      </c>
      <c r="AC31" s="1">
        <v>7.5532407407407417E-4</v>
      </c>
      <c r="AD31" s="1">
        <v>7.1226851851851855E-4</v>
      </c>
      <c r="AE31" s="1">
        <v>1.4675925925925926E-3</v>
      </c>
      <c r="AG31">
        <v>121966</v>
      </c>
      <c r="AH31" s="2">
        <f>_xlfn.LET(_xlpm.x,Table1221[[#This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7.5532407407407417E-4</v>
      </c>
      <c r="AI31" s="3">
        <f>IF(Table1221[[#This Row],[run 1 times]]="",999.99,IF(Table1221[[#This Row],[run 1 times]]=$AO$3,0,MAX(0,ROUND(((Table1221[[#This Row],[run 1 times]]-$AO$3)/$AO$3)*$AO$6,2))))</f>
        <v>359.66</v>
      </c>
      <c r="AJ31" s="2">
        <f>_xlfn.LET(_xlpm.x,Table1221[[#This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7.1226851851851855E-4</v>
      </c>
      <c r="AK31" s="3">
        <f>IF(Table1221[[#This Row],[run2 times]]="",999.99,IF(Table1221[[#This Row],[run2 times]]=$AP$3,0,MAX(0,ROUND(((Table1221[[#This Row],[run2 times]]-$AP$3)/$AP$3)*$AO$6,2))))</f>
        <v>338.86</v>
      </c>
      <c r="AL31" s="2">
        <f>IF(OR(Table1221[[#This Row],[run 1 times]]="",Table1221[[#This Row],[run2 times]]=""),"",Table1221[[#This Row],[run 1 times]]+Table1221[[#This Row],[run2 times]])</f>
        <v>1.4675925925925928E-3</v>
      </c>
      <c r="AM31" s="3">
        <f>IF(Table1221[[#This Row],[total time]]="",999.99,IF(Table1221[[#This Row],[total time]]=$AQ$3,0,MAX(0,ROUND(((Table1221[[#This Row],[total time]]-$AQ$3)/$AQ$3)*$AO$6,2))))</f>
        <v>349.46</v>
      </c>
    </row>
    <row r="32" spans="1:39" x14ac:dyDescent="0.3">
      <c r="A32">
        <v>55</v>
      </c>
      <c r="B32">
        <v>55</v>
      </c>
      <c r="C32" t="s">
        <v>24</v>
      </c>
      <c r="D32" t="s">
        <v>480</v>
      </c>
      <c r="E32" t="s">
        <v>517</v>
      </c>
      <c r="F32">
        <v>2014</v>
      </c>
      <c r="G32" s="1" t="s">
        <v>518</v>
      </c>
      <c r="H32" s="1" t="s">
        <v>518</v>
      </c>
      <c r="I32" s="1"/>
      <c r="K32">
        <v>109934</v>
      </c>
      <c r="L32" s="2" t="str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32" s="3">
        <f>IF(Table12[[#This Row],[run 1 times]]="",999.99,IF(Table12[[#This Row],[run 1 times]]=$S$3,0,MAX(0,ROUND(((Table12[[#This Row],[run 1 times]]-$S$3)/$S$3)*$S$6,2))))</f>
        <v>999.99</v>
      </c>
      <c r="N32" s="2" t="str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32" s="3">
        <f>IF(Table12[[#This Row],[run2 times]]="",999.99,IF(Table12[[#This Row],[run2 times]]=$T$3,0,MAX(0,ROUND(((Table12[[#This Row],[run2 times]]-$T$3)/$T$3)*$S$6,2))))</f>
        <v>999.99</v>
      </c>
      <c r="P32" s="2" t="str">
        <f>IF(OR(Table12[[#This Row],[run 1 times]]="",Table12[[#This Row],[run2 times]]=""),"",Table12[[#This Row],[run 1 times]]+Table12[[#This Row],[run2 times]])</f>
        <v/>
      </c>
      <c r="Q32" s="3">
        <f>IF(Table12[[#This Row],[total time]]="",999.99,IF(Table12[[#This Row],[total time]]=$U$3,0,MAX(0,ROUND(((Table12[[#This Row],[total time]]-$U$3)/$U$3)*$S$6,2))))</f>
        <v>999.99</v>
      </c>
      <c r="W32">
        <v>31</v>
      </c>
      <c r="X32">
        <v>90</v>
      </c>
      <c r="Y32" t="s">
        <v>479</v>
      </c>
      <c r="Z32" t="s">
        <v>547</v>
      </c>
      <c r="AA32" t="s">
        <v>579</v>
      </c>
      <c r="AB32">
        <v>2011</v>
      </c>
      <c r="AC32" s="1">
        <v>44.72</v>
      </c>
      <c r="AD32" s="1">
        <v>43.85</v>
      </c>
      <c r="AE32" s="1">
        <v>1.0251157407407407E-3</v>
      </c>
      <c r="AG32">
        <v>89870</v>
      </c>
      <c r="AH32" s="2">
        <f>_xlfn.LET(_xlpm.x,Table1221[[#This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5.175925925925926E-4</v>
      </c>
      <c r="AI32" s="3">
        <f>IF(Table1221[[#This Row],[run 1 times]]="",999.99,IF(Table1221[[#This Row],[run 1 times]]=$AO$3,0,MAX(0,ROUND(((Table1221[[#This Row],[run 1 times]]-$AO$3)/$AO$3)*$AO$6,2))))</f>
        <v>16.7</v>
      </c>
      <c r="AJ32" s="2">
        <f>_xlfn.LET(_xlpm.x,Table1221[[#This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5.0752314814814811E-4</v>
      </c>
      <c r="AK32" s="3">
        <f>IF(Table1221[[#This Row],[run2 times]]="",999.99,IF(Table1221[[#This Row],[run2 times]]=$AP$3,0,MAX(0,ROUND(((Table1221[[#This Row],[run2 times]]-$AP$3)/$AP$3)*$AO$6,2))))</f>
        <v>31.61</v>
      </c>
      <c r="AL32" s="2">
        <f>IF(OR(Table1221[[#This Row],[run 1 times]]="",Table1221[[#This Row],[run2 times]]=""),"",Table1221[[#This Row],[run 1 times]]+Table1221[[#This Row],[run2 times]])</f>
        <v>1.0251157407407407E-3</v>
      </c>
      <c r="AM32" s="3">
        <f>IF(Table1221[[#This Row],[total time]]="",999.99,IF(Table1221[[#This Row],[total time]]=$AQ$3,0,MAX(0,ROUND(((Table1221[[#This Row],[total time]]-$AQ$3)/$AQ$3)*$AO$6,2))))</f>
        <v>24.01</v>
      </c>
    </row>
    <row r="33" spans="1:39" x14ac:dyDescent="0.3">
      <c r="A33">
        <v>41</v>
      </c>
      <c r="B33">
        <v>41</v>
      </c>
      <c r="C33" t="s">
        <v>479</v>
      </c>
      <c r="D33" t="s">
        <v>480</v>
      </c>
      <c r="E33" t="s">
        <v>506</v>
      </c>
      <c r="F33">
        <v>2014</v>
      </c>
      <c r="G33" s="1">
        <v>9.3310185185185195E-4</v>
      </c>
      <c r="H33" s="1">
        <v>9.7326388888888896E-4</v>
      </c>
      <c r="I33" s="1">
        <v>1.9063657407407408E-3</v>
      </c>
      <c r="K33">
        <v>110040</v>
      </c>
      <c r="L33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9.3310185185185195E-4</v>
      </c>
      <c r="M33" s="3">
        <f>IF(Table12[[#This Row],[run 1 times]]="",999.99,IF(Table12[[#This Row],[run 1 times]]=$S$3,0,MAX(0,ROUND(((Table12[[#This Row],[run 1 times]]-$S$3)/$S$3)*$S$6,2))))</f>
        <v>506.14</v>
      </c>
      <c r="N33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9.7326388888888896E-4</v>
      </c>
      <c r="O33" s="3">
        <f>IF(Table12[[#This Row],[run2 times]]="",999.99,IF(Table12[[#This Row],[run2 times]]=$T$3,0,MAX(0,ROUND(((Table12[[#This Row],[run2 times]]-$T$3)/$T$3)*$S$6,2))))</f>
        <v>491.36</v>
      </c>
      <c r="P33" s="2">
        <f>IF(OR(Table12[[#This Row],[run 1 times]]="",Table12[[#This Row],[run2 times]]=""),"",Table12[[#This Row],[run 1 times]]+Table12[[#This Row],[run2 times]])</f>
        <v>1.906365740740741E-3</v>
      </c>
      <c r="Q33" s="3">
        <f>IF(Table12[[#This Row],[total time]]="",999.99,IF(Table12[[#This Row],[total time]]=$U$3,0,MAX(0,ROUND(((Table12[[#This Row],[total time]]-$U$3)/$U$3)*$S$6,2))))</f>
        <v>497.3</v>
      </c>
      <c r="W33">
        <v>19</v>
      </c>
      <c r="X33">
        <v>78</v>
      </c>
      <c r="Y33" t="s">
        <v>223</v>
      </c>
      <c r="Z33" t="s">
        <v>547</v>
      </c>
      <c r="AA33" t="s">
        <v>580</v>
      </c>
      <c r="AB33">
        <v>2011</v>
      </c>
      <c r="AC33" s="1" t="s">
        <v>510</v>
      </c>
      <c r="AD33" s="1" t="s">
        <v>510</v>
      </c>
      <c r="AE33" s="1"/>
      <c r="AG33">
        <v>94556</v>
      </c>
      <c r="AH33" s="2" t="str">
        <f>_xlfn.LET(_xlpm.x,Table1221[[#This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33" s="3">
        <f>IF(Table1221[[#This Row],[run 1 times]]="",999.99,IF(Table1221[[#This Row],[run 1 times]]=$AO$3,0,MAX(0,ROUND(((Table1221[[#This Row],[run 1 times]]-$AO$3)/$AO$3)*$AO$6,2))))</f>
        <v>999.99</v>
      </c>
      <c r="AJ33" s="2" t="str">
        <f>_xlfn.LET(_xlpm.x,Table1221[[#This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33" s="3">
        <f>IF(Table1221[[#This Row],[run2 times]]="",999.99,IF(Table1221[[#This Row],[run2 times]]=$AP$3,0,MAX(0,ROUND(((Table1221[[#This Row],[run2 times]]-$AP$3)/$AP$3)*$AO$6,2))))</f>
        <v>999.99</v>
      </c>
      <c r="AL33" s="2" t="str">
        <f>IF(OR(Table1221[[#This Row],[run 1 times]]="",Table1221[[#This Row],[run2 times]]=""),"",Table1221[[#This Row],[run 1 times]]+Table1221[[#This Row],[run2 times]])</f>
        <v/>
      </c>
      <c r="AM33" s="3">
        <f>IF(Table1221[[#This Row],[total time]]="",999.99,IF(Table1221[[#This Row],[total time]]=$AQ$3,0,MAX(0,ROUND(((Table1221[[#This Row],[total time]]-$AQ$3)/$AQ$3)*$AO$6,2))))</f>
        <v>999.99</v>
      </c>
    </row>
    <row r="34" spans="1:39" x14ac:dyDescent="0.3">
      <c r="A34">
        <v>48</v>
      </c>
      <c r="B34">
        <v>48</v>
      </c>
      <c r="C34" t="s">
        <v>479</v>
      </c>
      <c r="D34" t="s">
        <v>480</v>
      </c>
      <c r="E34" t="s">
        <v>494</v>
      </c>
      <c r="F34">
        <v>2014</v>
      </c>
      <c r="G34" s="1">
        <v>7.9479166666666674E-4</v>
      </c>
      <c r="H34" s="1">
        <v>7.9826388888888883E-4</v>
      </c>
      <c r="I34" s="1">
        <v>1.5930555555555555E-3</v>
      </c>
      <c r="K34">
        <v>110041</v>
      </c>
      <c r="L34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7.9479166666666674E-4</v>
      </c>
      <c r="M34" s="3">
        <f>IF(Table12[[#This Row],[run 1 times]]="",999.99,IF(Table12[[#This Row],[run 1 times]]=$S$3,0,MAX(0,ROUND(((Table12[[#This Row],[run 1 times]]-$S$3)/$S$3)*$S$6,2))))</f>
        <v>322.91000000000003</v>
      </c>
      <c r="N34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7.9826388888888883E-4</v>
      </c>
      <c r="O34" s="3">
        <f>IF(Table12[[#This Row],[run2 times]]="",999.99,IF(Table12[[#This Row],[run2 times]]=$T$3,0,MAX(0,ROUND(((Table12[[#This Row],[run2 times]]-$T$3)/$T$3)*$S$6,2))))</f>
        <v>271.75</v>
      </c>
      <c r="P34" s="2">
        <f>IF(OR(Table12[[#This Row],[run 1 times]]="",Table12[[#This Row],[run2 times]]=""),"",Table12[[#This Row],[run 1 times]]+Table12[[#This Row],[run2 times]])</f>
        <v>1.5930555555555555E-3</v>
      </c>
      <c r="Q34" s="3">
        <f>IF(Table12[[#This Row],[total time]]="",999.99,IF(Table12[[#This Row],[total time]]=$U$3,0,MAX(0,ROUND(((Table12[[#This Row],[total time]]-$U$3)/$U$3)*$S$6,2))))</f>
        <v>295.58999999999997</v>
      </c>
    </row>
    <row r="35" spans="1:39" x14ac:dyDescent="0.3">
      <c r="A35">
        <v>38</v>
      </c>
      <c r="B35">
        <v>38</v>
      </c>
      <c r="C35" t="s">
        <v>479</v>
      </c>
      <c r="D35" t="s">
        <v>480</v>
      </c>
      <c r="E35" t="s">
        <v>500</v>
      </c>
      <c r="F35">
        <v>2015</v>
      </c>
      <c r="G35" s="1">
        <v>8.2546296296296285E-4</v>
      </c>
      <c r="H35" s="1">
        <v>9.2164351851851847E-4</v>
      </c>
      <c r="I35" s="1">
        <v>1.7471064814814814E-3</v>
      </c>
      <c r="K35">
        <v>110042</v>
      </c>
      <c r="L35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8.2546296296296285E-4</v>
      </c>
      <c r="M35" s="3">
        <f>IF(Table12[[#This Row],[run 1 times]]="",999.99,IF(Table12[[#This Row],[run 1 times]]=$S$3,0,MAX(0,ROUND(((Table12[[#This Row],[run 1 times]]-$S$3)/$S$3)*$S$6,2))))</f>
        <v>363.54</v>
      </c>
      <c r="N35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9.2164351851851847E-4</v>
      </c>
      <c r="O35" s="3">
        <f>IF(Table12[[#This Row],[run2 times]]="",999.99,IF(Table12[[#This Row],[run2 times]]=$T$3,0,MAX(0,ROUND(((Table12[[#This Row],[run2 times]]-$T$3)/$T$3)*$S$6,2))))</f>
        <v>426.58</v>
      </c>
      <c r="P35" s="2">
        <f>IF(OR(Table12[[#This Row],[run 1 times]]="",Table12[[#This Row],[run2 times]]=""),"",Table12[[#This Row],[run 1 times]]+Table12[[#This Row],[run2 times]])</f>
        <v>1.7471064814814814E-3</v>
      </c>
      <c r="Q35" s="3">
        <f>IF(Table12[[#This Row],[total time]]="",999.99,IF(Table12[[#This Row],[total time]]=$U$3,0,MAX(0,ROUND(((Table12[[#This Row],[total time]]-$U$3)/$U$3)*$S$6,2))))</f>
        <v>394.77</v>
      </c>
    </row>
    <row r="36" spans="1:39" x14ac:dyDescent="0.3">
      <c r="A36">
        <v>12</v>
      </c>
      <c r="B36">
        <v>12</v>
      </c>
      <c r="C36" t="s">
        <v>479</v>
      </c>
      <c r="D36" t="s">
        <v>480</v>
      </c>
      <c r="E36" t="s">
        <v>490</v>
      </c>
      <c r="F36">
        <v>2015</v>
      </c>
      <c r="G36" s="1">
        <v>6.9594907407407409E-4</v>
      </c>
      <c r="H36" s="1">
        <v>8.4027777777777768E-4</v>
      </c>
      <c r="I36" s="1">
        <v>1.5362268518518518E-3</v>
      </c>
      <c r="K36">
        <v>110055</v>
      </c>
      <c r="L36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6.9594907407407409E-4</v>
      </c>
      <c r="M36" s="3">
        <f>IF(Table12[[#This Row],[run 1 times]]="",999.99,IF(Table12[[#This Row],[run 1 times]]=$S$3,0,MAX(0,ROUND(((Table12[[#This Row],[run 1 times]]-$S$3)/$S$3)*$S$6,2))))</f>
        <v>191.97</v>
      </c>
      <c r="N36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8.4027777777777768E-4</v>
      </c>
      <c r="O36" s="3">
        <f>IF(Table12[[#This Row],[run2 times]]="",999.99,IF(Table12[[#This Row],[run2 times]]=$T$3,0,MAX(0,ROUND(((Table12[[#This Row],[run2 times]]-$T$3)/$T$3)*$S$6,2))))</f>
        <v>324.48</v>
      </c>
      <c r="P36" s="2">
        <f>IF(OR(Table12[[#This Row],[run 1 times]]="",Table12[[#This Row],[run2 times]]=""),"",Table12[[#This Row],[run 1 times]]+Table12[[#This Row],[run2 times]])</f>
        <v>1.5362268518518518E-3</v>
      </c>
      <c r="Q36" s="3">
        <f>IF(Table12[[#This Row],[total time]]="",999.99,IF(Table12[[#This Row],[total time]]=$U$3,0,MAX(0,ROUND(((Table12[[#This Row],[total time]]-$U$3)/$U$3)*$S$6,2))))</f>
        <v>259.01</v>
      </c>
    </row>
    <row r="37" spans="1:39" x14ac:dyDescent="0.3">
      <c r="A37">
        <v>22</v>
      </c>
      <c r="B37">
        <v>22</v>
      </c>
      <c r="C37" t="s">
        <v>223</v>
      </c>
      <c r="D37" t="s">
        <v>480</v>
      </c>
      <c r="E37" t="s">
        <v>483</v>
      </c>
      <c r="F37">
        <v>2015</v>
      </c>
      <c r="G37" s="1">
        <v>7.1064814814814819E-4</v>
      </c>
      <c r="H37" s="1">
        <v>7.612268518518518E-4</v>
      </c>
      <c r="I37" s="1">
        <v>1.4718750000000001E-3</v>
      </c>
      <c r="K37">
        <v>111248</v>
      </c>
      <c r="L37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7.1064814814814819E-4</v>
      </c>
      <c r="M37" s="3">
        <f>IF(Table12[[#This Row],[run 1 times]]="",999.99,IF(Table12[[#This Row],[run 1 times]]=$S$3,0,MAX(0,ROUND(((Table12[[#This Row],[run 1 times]]-$S$3)/$S$3)*$S$6,2))))</f>
        <v>211.44</v>
      </c>
      <c r="N37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7.612268518518518E-4</v>
      </c>
      <c r="O37" s="3">
        <f>IF(Table12[[#This Row],[run2 times]]="",999.99,IF(Table12[[#This Row],[run2 times]]=$T$3,0,MAX(0,ROUND(((Table12[[#This Row],[run2 times]]-$T$3)/$T$3)*$S$6,2))))</f>
        <v>225.27</v>
      </c>
      <c r="P37" s="2">
        <f>IF(OR(Table12[[#This Row],[run 1 times]]="",Table12[[#This Row],[run2 times]]=""),"",Table12[[#This Row],[run 1 times]]+Table12[[#This Row],[run2 times]])</f>
        <v>1.4718750000000001E-3</v>
      </c>
      <c r="Q37" s="3">
        <f>IF(Table12[[#This Row],[total time]]="",999.99,IF(Table12[[#This Row],[total time]]=$U$3,0,MAX(0,ROUND(((Table12[[#This Row],[total time]]-$U$3)/$U$3)*$S$6,2))))</f>
        <v>217.58</v>
      </c>
    </row>
    <row r="38" spans="1:39" x14ac:dyDescent="0.3">
      <c r="A38">
        <v>30</v>
      </c>
      <c r="B38">
        <v>30</v>
      </c>
      <c r="C38" t="s">
        <v>373</v>
      </c>
      <c r="D38" t="s">
        <v>480</v>
      </c>
      <c r="E38" t="s">
        <v>503</v>
      </c>
      <c r="F38">
        <v>2014</v>
      </c>
      <c r="G38" s="1">
        <v>8.7361111111111114E-4</v>
      </c>
      <c r="H38" s="1">
        <v>9.6076388888888893E-4</v>
      </c>
      <c r="I38" s="1">
        <v>1.8343750000000001E-3</v>
      </c>
      <c r="K38">
        <v>112386</v>
      </c>
      <c r="L38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8.7361111111111114E-4</v>
      </c>
      <c r="M38" s="3">
        <f>IF(Table12[[#This Row],[run 1 times]]="",999.99,IF(Table12[[#This Row],[run 1 times]]=$S$3,0,MAX(0,ROUND(((Table12[[#This Row],[run 1 times]]-$S$3)/$S$3)*$S$6,2))))</f>
        <v>427.33</v>
      </c>
      <c r="N38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9.6076388888888893E-4</v>
      </c>
      <c r="O38" s="3">
        <f>IF(Table12[[#This Row],[run2 times]]="",999.99,IF(Table12[[#This Row],[run2 times]]=$T$3,0,MAX(0,ROUND(((Table12[[#This Row],[run2 times]]-$T$3)/$T$3)*$S$6,2))))</f>
        <v>475.68</v>
      </c>
      <c r="P38" s="2">
        <f>IF(OR(Table12[[#This Row],[run 1 times]]="",Table12[[#This Row],[run2 times]]=""),"",Table12[[#This Row],[run 1 times]]+Table12[[#This Row],[run2 times]])</f>
        <v>1.8343750000000001E-3</v>
      </c>
      <c r="Q38" s="3">
        <f>IF(Table12[[#This Row],[total time]]="",999.99,IF(Table12[[#This Row],[total time]]=$U$3,0,MAX(0,ROUND(((Table12[[#This Row],[total time]]-$U$3)/$U$3)*$S$6,2))))</f>
        <v>450.95</v>
      </c>
    </row>
    <row r="39" spans="1:39" x14ac:dyDescent="0.3">
      <c r="A39">
        <v>39</v>
      </c>
      <c r="B39">
        <v>39</v>
      </c>
      <c r="C39" t="s">
        <v>24</v>
      </c>
      <c r="D39" t="s">
        <v>480</v>
      </c>
      <c r="E39" t="s">
        <v>508</v>
      </c>
      <c r="F39">
        <v>2015</v>
      </c>
      <c r="G39" s="1">
        <v>9.7870370370370364E-4</v>
      </c>
      <c r="H39" s="1">
        <v>1.0313657407407407E-3</v>
      </c>
      <c r="I39" s="1">
        <v>2.0100694444444445E-3</v>
      </c>
      <c r="K39">
        <v>112415</v>
      </c>
      <c r="L39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9.7870370370370364E-4</v>
      </c>
      <c r="M39" s="3">
        <f>IF(Table12[[#This Row],[run 1 times]]="",999.99,IF(Table12[[#This Row],[run 1 times]]=$S$3,0,MAX(0,ROUND(((Table12[[#This Row],[run 1 times]]-$S$3)/$S$3)*$S$6,2))))</f>
        <v>566.54999999999995</v>
      </c>
      <c r="N39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1.0313657407407407E-3</v>
      </c>
      <c r="O39" s="3">
        <f>IF(Table12[[#This Row],[run2 times]]="",999.99,IF(Table12[[#This Row],[run2 times]]=$T$3,0,MAX(0,ROUND(((Table12[[#This Row],[run2 times]]-$T$3)/$T$3)*$S$6,2))))</f>
        <v>564.28</v>
      </c>
      <c r="P39" s="2">
        <f>IF(OR(Table12[[#This Row],[run 1 times]]="",Table12[[#This Row],[run2 times]]=""),"",Table12[[#This Row],[run 1 times]]+Table12[[#This Row],[run2 times]])</f>
        <v>2.0100694444444445E-3</v>
      </c>
      <c r="Q39" s="3">
        <f>IF(Table12[[#This Row],[total time]]="",999.99,IF(Table12[[#This Row],[total time]]=$U$3,0,MAX(0,ROUND(((Table12[[#This Row],[total time]]-$U$3)/$U$3)*$S$6,2))))</f>
        <v>564.05999999999995</v>
      </c>
    </row>
    <row r="40" spans="1:39" x14ac:dyDescent="0.3">
      <c r="A40">
        <v>56</v>
      </c>
      <c r="B40">
        <v>56</v>
      </c>
      <c r="C40" t="s">
        <v>257</v>
      </c>
      <c r="D40" t="s">
        <v>522</v>
      </c>
      <c r="E40" t="s">
        <v>530</v>
      </c>
      <c r="F40">
        <v>2013</v>
      </c>
      <c r="G40" s="1">
        <v>53.84</v>
      </c>
      <c r="H40" s="1">
        <v>57.15</v>
      </c>
      <c r="I40" s="1">
        <v>1.2846064814814816E-3</v>
      </c>
      <c r="K40">
        <v>112516</v>
      </c>
      <c r="L40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6.2314814814814817E-4</v>
      </c>
      <c r="M40" s="3">
        <f>IF(Table12[[#This Row],[run 1 times]]="",999.99,IF(Table12[[#This Row],[run 1 times]]=$S$3,0,MAX(0,ROUND(((Table12[[#This Row],[run 1 times]]-$S$3)/$S$3)*$S$6,2))))</f>
        <v>95.52</v>
      </c>
      <c r="N40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6.6145833333333334E-4</v>
      </c>
      <c r="O40" s="3">
        <f>IF(Table12[[#This Row],[run2 times]]="",999.99,IF(Table12[[#This Row],[run2 times]]=$T$3,0,MAX(0,ROUND(((Table12[[#This Row],[run2 times]]-$T$3)/$T$3)*$S$6,2))))</f>
        <v>100.07</v>
      </c>
      <c r="P40" s="2">
        <f>IF(OR(Table12[[#This Row],[run 1 times]]="",Table12[[#This Row],[run2 times]]=""),"",Table12[[#This Row],[run 1 times]]+Table12[[#This Row],[run2 times]])</f>
        <v>1.2846064814814816E-3</v>
      </c>
      <c r="Q40" s="3">
        <f>IF(Table12[[#This Row],[total time]]="",999.99,IF(Table12[[#This Row],[total time]]=$U$3,0,MAX(0,ROUND(((Table12[[#This Row],[total time]]-$U$3)/$U$3)*$S$6,2))))</f>
        <v>97.02</v>
      </c>
    </row>
    <row r="41" spans="1:39" x14ac:dyDescent="0.3">
      <c r="A41">
        <v>49</v>
      </c>
      <c r="B41">
        <v>49</v>
      </c>
      <c r="C41" t="s">
        <v>24</v>
      </c>
      <c r="D41" t="s">
        <v>480</v>
      </c>
      <c r="E41" t="s">
        <v>519</v>
      </c>
      <c r="F41">
        <v>2015</v>
      </c>
      <c r="G41" s="1" t="s">
        <v>518</v>
      </c>
      <c r="H41" s="1">
        <v>8.3738425925925918E-4</v>
      </c>
      <c r="I41" s="1"/>
      <c r="K41">
        <v>114606</v>
      </c>
      <c r="L41" s="2" t="str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41" s="3">
        <f>IF(Table12[[#This Row],[run 1 times]]="",999.99,IF(Table12[[#This Row],[run 1 times]]=$S$3,0,MAX(0,ROUND(((Table12[[#This Row],[run 1 times]]-$S$3)/$S$3)*$S$6,2))))</f>
        <v>999.99</v>
      </c>
      <c r="N41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8.3738425925925918E-4</v>
      </c>
      <c r="O41" s="3">
        <f>IF(Table12[[#This Row],[run2 times]]="",999.99,IF(Table12[[#This Row],[run2 times]]=$T$3,0,MAX(0,ROUND(((Table12[[#This Row],[run2 times]]-$T$3)/$T$3)*$S$6,2))))</f>
        <v>320.85000000000002</v>
      </c>
      <c r="P41" s="2" t="str">
        <f>IF(OR(Table12[[#This Row],[run 1 times]]="",Table12[[#This Row],[run2 times]]=""),"",Table12[[#This Row],[run 1 times]]+Table12[[#This Row],[run2 times]])</f>
        <v/>
      </c>
      <c r="Q41" s="3">
        <f>IF(Table12[[#This Row],[total time]]="",999.99,IF(Table12[[#This Row],[total time]]=$U$3,0,MAX(0,ROUND(((Table12[[#This Row],[total time]]-$U$3)/$U$3)*$S$6,2))))</f>
        <v>999.99</v>
      </c>
    </row>
    <row r="42" spans="1:39" x14ac:dyDescent="0.3">
      <c r="A42">
        <v>25</v>
      </c>
      <c r="B42">
        <v>25</v>
      </c>
      <c r="C42" t="s">
        <v>257</v>
      </c>
      <c r="D42" t="s">
        <v>480</v>
      </c>
      <c r="E42" t="s">
        <v>489</v>
      </c>
      <c r="F42">
        <v>2014</v>
      </c>
      <c r="G42" s="1">
        <v>7.2754629629629634E-4</v>
      </c>
      <c r="H42" s="1">
        <v>7.9259259259259268E-4</v>
      </c>
      <c r="I42" s="1">
        <v>1.520138888888889E-3</v>
      </c>
      <c r="K42">
        <v>116952</v>
      </c>
      <c r="L42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7.2754629629629634E-4</v>
      </c>
      <c r="M42" s="3">
        <f>IF(Table12[[#This Row],[run 1 times]]="",999.99,IF(Table12[[#This Row],[run 1 times]]=$S$3,0,MAX(0,ROUND(((Table12[[#This Row],[run 1 times]]-$S$3)/$S$3)*$S$6,2))))</f>
        <v>233.83</v>
      </c>
      <c r="N42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7.9259259259259268E-4</v>
      </c>
      <c r="O42" s="3">
        <f>IF(Table12[[#This Row],[run2 times]]="",999.99,IF(Table12[[#This Row],[run2 times]]=$T$3,0,MAX(0,ROUND(((Table12[[#This Row],[run2 times]]-$T$3)/$T$3)*$S$6,2))))</f>
        <v>264.64</v>
      </c>
      <c r="P42" s="2">
        <f>IF(OR(Table12[[#This Row],[run 1 times]]="",Table12[[#This Row],[run2 times]]=""),"",Table12[[#This Row],[run 1 times]]+Table12[[#This Row],[run2 times]])</f>
        <v>1.520138888888889E-3</v>
      </c>
      <c r="Q42" s="3">
        <f>IF(Table12[[#This Row],[total time]]="",999.99,IF(Table12[[#This Row],[total time]]=$U$3,0,MAX(0,ROUND(((Table12[[#This Row],[total time]]-$U$3)/$U$3)*$S$6,2))))</f>
        <v>248.65</v>
      </c>
    </row>
    <row r="43" spans="1:39" x14ac:dyDescent="0.3">
      <c r="A43">
        <v>27</v>
      </c>
      <c r="B43">
        <v>27</v>
      </c>
      <c r="C43" t="s">
        <v>257</v>
      </c>
      <c r="D43" t="s">
        <v>522</v>
      </c>
      <c r="E43" t="s">
        <v>535</v>
      </c>
      <c r="F43">
        <v>2012</v>
      </c>
      <c r="G43" s="1">
        <v>7.525462962962963E-4</v>
      </c>
      <c r="H43" s="1">
        <v>8.2314814814814815E-4</v>
      </c>
      <c r="I43" s="1">
        <v>1.5756944444444442E-3</v>
      </c>
      <c r="K43">
        <v>117000</v>
      </c>
      <c r="L43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7.525462962962963E-4</v>
      </c>
      <c r="M43" s="3">
        <f>IF(Table12[[#This Row],[run 1 times]]="",999.99,IF(Table12[[#This Row],[run 1 times]]=$S$3,0,MAX(0,ROUND(((Table12[[#This Row],[run 1 times]]-$S$3)/$S$3)*$S$6,2))))</f>
        <v>266.95</v>
      </c>
      <c r="N43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8.2314814814814815E-4</v>
      </c>
      <c r="O43" s="3">
        <f>IF(Table12[[#This Row],[run2 times]]="",999.99,IF(Table12[[#This Row],[run2 times]]=$T$3,0,MAX(0,ROUND(((Table12[[#This Row],[run2 times]]-$T$3)/$T$3)*$S$6,2))))</f>
        <v>302.98</v>
      </c>
      <c r="P43" s="2">
        <f>IF(OR(Table12[[#This Row],[run 1 times]]="",Table12[[#This Row],[run2 times]]=""),"",Table12[[#This Row],[run 1 times]]+Table12[[#This Row],[run2 times]])</f>
        <v>1.5756944444444445E-3</v>
      </c>
      <c r="Q43" s="3">
        <f>IF(Table12[[#This Row],[total time]]="",999.99,IF(Table12[[#This Row],[total time]]=$U$3,0,MAX(0,ROUND(((Table12[[#This Row],[total time]]-$U$3)/$U$3)*$S$6,2))))</f>
        <v>284.41000000000003</v>
      </c>
    </row>
    <row r="44" spans="1:39" x14ac:dyDescent="0.3">
      <c r="A44">
        <v>31</v>
      </c>
      <c r="B44">
        <v>31</v>
      </c>
      <c r="C44" t="s">
        <v>257</v>
      </c>
      <c r="D44" t="s">
        <v>522</v>
      </c>
      <c r="E44" t="s">
        <v>532</v>
      </c>
      <c r="F44">
        <v>2013</v>
      </c>
      <c r="G44" s="1">
        <v>57.89</v>
      </c>
      <c r="H44" s="1">
        <v>58.87</v>
      </c>
      <c r="I44" s="1">
        <v>1.3513888888888887E-3</v>
      </c>
      <c r="K44">
        <v>117693</v>
      </c>
      <c r="L44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6.7002314814814811E-4</v>
      </c>
      <c r="M44" s="3">
        <f>IF(Table12[[#This Row],[run 1 times]]="",999.99,IF(Table12[[#This Row],[run 1 times]]=$S$3,0,MAX(0,ROUND(((Table12[[#This Row],[run 1 times]]-$S$3)/$S$3)*$S$6,2))))</f>
        <v>157.62</v>
      </c>
      <c r="N44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6.8136574074074074E-4</v>
      </c>
      <c r="O44" s="3">
        <f>IF(Table12[[#This Row],[run2 times]]="",999.99,IF(Table12[[#This Row],[run2 times]]=$T$3,0,MAX(0,ROUND(((Table12[[#This Row],[run2 times]]-$T$3)/$T$3)*$S$6,2))))</f>
        <v>125.06</v>
      </c>
      <c r="P44" s="2">
        <f>IF(OR(Table12[[#This Row],[run 1 times]]="",Table12[[#This Row],[run2 times]]=""),"",Table12[[#This Row],[run 1 times]]+Table12[[#This Row],[run2 times]])</f>
        <v>1.351388888888889E-3</v>
      </c>
      <c r="Q44" s="3">
        <f>IF(Table12[[#This Row],[total time]]="",999.99,IF(Table12[[#This Row],[total time]]=$U$3,0,MAX(0,ROUND(((Table12[[#This Row],[total time]]-$U$3)/$U$3)*$S$6,2))))</f>
        <v>140.01</v>
      </c>
    </row>
    <row r="45" spans="1:39" x14ac:dyDescent="0.3">
      <c r="A45">
        <v>15</v>
      </c>
      <c r="B45">
        <v>15</v>
      </c>
      <c r="C45" t="s">
        <v>257</v>
      </c>
      <c r="D45" t="s">
        <v>522</v>
      </c>
      <c r="E45" t="s">
        <v>544</v>
      </c>
      <c r="F45">
        <v>2013</v>
      </c>
      <c r="G45" s="1">
        <v>8.3935185185185176E-4</v>
      </c>
      <c r="H45" s="1" t="s">
        <v>512</v>
      </c>
      <c r="I45" s="1"/>
      <c r="K45">
        <v>117955</v>
      </c>
      <c r="L45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8.3935185185185176E-4</v>
      </c>
      <c r="M45" s="3">
        <f>IF(Table12[[#This Row],[run 1 times]]="",999.99,IF(Table12[[#This Row],[run 1 times]]=$S$3,0,MAX(0,ROUND(((Table12[[#This Row],[run 1 times]]-$S$3)/$S$3)*$S$6,2))))</f>
        <v>381.94</v>
      </c>
      <c r="N45" s="2" t="str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45" s="3">
        <f>IF(Table12[[#This Row],[run2 times]]="",999.99,IF(Table12[[#This Row],[run2 times]]=$T$3,0,MAX(0,ROUND(((Table12[[#This Row],[run2 times]]-$T$3)/$T$3)*$S$6,2))))</f>
        <v>999.99</v>
      </c>
      <c r="P45" s="2" t="str">
        <f>IF(OR(Table12[[#This Row],[run 1 times]]="",Table12[[#This Row],[run2 times]]=""),"",Table12[[#This Row],[run 1 times]]+Table12[[#This Row],[run2 times]])</f>
        <v/>
      </c>
      <c r="Q45" s="3">
        <f>IF(Table12[[#This Row],[total time]]="",999.99,IF(Table12[[#This Row],[total time]]=$U$3,0,MAX(0,ROUND(((Table12[[#This Row],[total time]]-$U$3)/$U$3)*$S$6,2))))</f>
        <v>999.99</v>
      </c>
    </row>
    <row r="46" spans="1:39" x14ac:dyDescent="0.3">
      <c r="A46">
        <v>34</v>
      </c>
      <c r="B46">
        <v>34</v>
      </c>
      <c r="C46" t="s">
        <v>487</v>
      </c>
      <c r="D46" t="s">
        <v>480</v>
      </c>
      <c r="E46" t="s">
        <v>516</v>
      </c>
      <c r="F46">
        <v>2014</v>
      </c>
      <c r="G46" s="1" t="s">
        <v>512</v>
      </c>
      <c r="H46" s="1" t="s">
        <v>512</v>
      </c>
      <c r="I46" s="1"/>
      <c r="K46">
        <v>118201</v>
      </c>
      <c r="L46" s="2" t="str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46" s="3">
        <f>IF(Table12[[#This Row],[run 1 times]]="",999.99,IF(Table12[[#This Row],[run 1 times]]=$S$3,0,MAX(0,ROUND(((Table12[[#This Row],[run 1 times]]-$S$3)/$S$3)*$S$6,2))))</f>
        <v>999.99</v>
      </c>
      <c r="N46" s="2" t="str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46" s="3">
        <f>IF(Table12[[#This Row],[run2 times]]="",999.99,IF(Table12[[#This Row],[run2 times]]=$T$3,0,MAX(0,ROUND(((Table12[[#This Row],[run2 times]]-$T$3)/$T$3)*$S$6,2))))</f>
        <v>999.99</v>
      </c>
      <c r="P46" s="2" t="str">
        <f>IF(OR(Table12[[#This Row],[run 1 times]]="",Table12[[#This Row],[run2 times]]=""),"",Table12[[#This Row],[run 1 times]]+Table12[[#This Row],[run2 times]])</f>
        <v/>
      </c>
      <c r="Q46" s="3">
        <f>IF(Table12[[#This Row],[total time]]="",999.99,IF(Table12[[#This Row],[total time]]=$U$3,0,MAX(0,ROUND(((Table12[[#This Row],[total time]]-$U$3)/$U$3)*$S$6,2))))</f>
        <v>999.99</v>
      </c>
    </row>
    <row r="47" spans="1:39" x14ac:dyDescent="0.3">
      <c r="A47">
        <v>32</v>
      </c>
      <c r="B47">
        <v>32</v>
      </c>
      <c r="C47" t="s">
        <v>257</v>
      </c>
      <c r="D47" t="s">
        <v>522</v>
      </c>
      <c r="E47" t="s">
        <v>542</v>
      </c>
      <c r="F47">
        <v>2013</v>
      </c>
      <c r="G47" s="1">
        <v>59.14</v>
      </c>
      <c r="H47" s="1" t="s">
        <v>512</v>
      </c>
      <c r="I47" s="1"/>
      <c r="K47">
        <v>118512</v>
      </c>
      <c r="L47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6.8449074074074072E-4</v>
      </c>
      <c r="M47" s="3">
        <f>IF(Table12[[#This Row],[run 1 times]]="",999.99,IF(Table12[[#This Row],[run 1 times]]=$S$3,0,MAX(0,ROUND(((Table12[[#This Row],[run 1 times]]-$S$3)/$S$3)*$S$6,2))))</f>
        <v>176.79</v>
      </c>
      <c r="N47" s="2" t="str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47" s="3">
        <f>IF(Table12[[#This Row],[run2 times]]="",999.99,IF(Table12[[#This Row],[run2 times]]=$T$3,0,MAX(0,ROUND(((Table12[[#This Row],[run2 times]]-$T$3)/$T$3)*$S$6,2))))</f>
        <v>999.99</v>
      </c>
      <c r="P47" s="2" t="str">
        <f>IF(OR(Table12[[#This Row],[run 1 times]]="",Table12[[#This Row],[run2 times]]=""),"",Table12[[#This Row],[run 1 times]]+Table12[[#This Row],[run2 times]])</f>
        <v/>
      </c>
      <c r="Q47" s="3">
        <f>IF(Table12[[#This Row],[total time]]="",999.99,IF(Table12[[#This Row],[total time]]=$U$3,0,MAX(0,ROUND(((Table12[[#This Row],[total time]]-$U$3)/$U$3)*$S$6,2))))</f>
        <v>999.99</v>
      </c>
    </row>
    <row r="48" spans="1:39" x14ac:dyDescent="0.3">
      <c r="A48">
        <v>6</v>
      </c>
      <c r="B48">
        <v>6</v>
      </c>
      <c r="C48" t="s">
        <v>257</v>
      </c>
      <c r="D48" t="s">
        <v>480</v>
      </c>
      <c r="E48" t="s">
        <v>499</v>
      </c>
      <c r="F48">
        <v>2015</v>
      </c>
      <c r="G48" s="1">
        <v>8.2187500000000001E-4</v>
      </c>
      <c r="H48" s="1">
        <v>8.605324074074073E-4</v>
      </c>
      <c r="I48" s="1">
        <v>1.6824074074074076E-3</v>
      </c>
      <c r="K48">
        <v>119074</v>
      </c>
      <c r="L48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8.2187500000000001E-4</v>
      </c>
      <c r="M48" s="3">
        <f>IF(Table12[[#This Row],[run 1 times]]="",999.99,IF(Table12[[#This Row],[run 1 times]]=$S$3,0,MAX(0,ROUND(((Table12[[#This Row],[run 1 times]]-$S$3)/$S$3)*$S$6,2))))</f>
        <v>358.79</v>
      </c>
      <c r="N48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8.605324074074073E-4</v>
      </c>
      <c r="O48" s="3">
        <f>IF(Table12[[#This Row],[run2 times]]="",999.99,IF(Table12[[#This Row],[run2 times]]=$T$3,0,MAX(0,ROUND(((Table12[[#This Row],[run2 times]]-$T$3)/$T$3)*$S$6,2))))</f>
        <v>349.89</v>
      </c>
      <c r="P48" s="2">
        <f>IF(OR(Table12[[#This Row],[run 1 times]]="",Table12[[#This Row],[run2 times]]=""),"",Table12[[#This Row],[run 1 times]]+Table12[[#This Row],[run2 times]])</f>
        <v>1.6824074074074072E-3</v>
      </c>
      <c r="Q48" s="3">
        <f>IF(Table12[[#This Row],[total time]]="",999.99,IF(Table12[[#This Row],[total time]]=$U$3,0,MAX(0,ROUND(((Table12[[#This Row],[total time]]-$U$3)/$U$3)*$S$6,2))))</f>
        <v>353.12</v>
      </c>
    </row>
    <row r="49" spans="1:17" x14ac:dyDescent="0.3">
      <c r="A49">
        <v>19</v>
      </c>
      <c r="B49">
        <v>19</v>
      </c>
      <c r="C49" t="s">
        <v>257</v>
      </c>
      <c r="D49" t="s">
        <v>480</v>
      </c>
      <c r="E49" t="s">
        <v>505</v>
      </c>
      <c r="F49">
        <v>2015</v>
      </c>
      <c r="G49" s="1">
        <v>9.0532407407407402E-4</v>
      </c>
      <c r="H49" s="1">
        <v>9.5856481481481476E-4</v>
      </c>
      <c r="I49" s="1">
        <v>1.8638888888888889E-3</v>
      </c>
      <c r="K49">
        <v>119081</v>
      </c>
      <c r="L49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9.0532407407407402E-4</v>
      </c>
      <c r="M49" s="3">
        <f>IF(Table12[[#This Row],[run 1 times]]="",999.99,IF(Table12[[#This Row],[run 1 times]]=$S$3,0,MAX(0,ROUND(((Table12[[#This Row],[run 1 times]]-$S$3)/$S$3)*$S$6,2))))</f>
        <v>469.34</v>
      </c>
      <c r="N49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9.5856481481481476E-4</v>
      </c>
      <c r="O49" s="3">
        <f>IF(Table12[[#This Row],[run2 times]]="",999.99,IF(Table12[[#This Row],[run2 times]]=$T$3,0,MAX(0,ROUND(((Table12[[#This Row],[run2 times]]-$T$3)/$T$3)*$S$6,2))))</f>
        <v>472.92</v>
      </c>
      <c r="P49" s="2">
        <f>IF(OR(Table12[[#This Row],[run 1 times]]="",Table12[[#This Row],[run2 times]]=""),"",Table12[[#This Row],[run 1 times]]+Table12[[#This Row],[run2 times]])</f>
        <v>1.8638888888888889E-3</v>
      </c>
      <c r="Q49" s="3">
        <f>IF(Table12[[#This Row],[total time]]="",999.99,IF(Table12[[#This Row],[total time]]=$U$3,0,MAX(0,ROUND(((Table12[[#This Row],[total time]]-$U$3)/$U$3)*$S$6,2))))</f>
        <v>469.95</v>
      </c>
    </row>
    <row r="50" spans="1:17" x14ac:dyDescent="0.3">
      <c r="A50">
        <v>47</v>
      </c>
      <c r="B50">
        <v>47</v>
      </c>
      <c r="C50" t="s">
        <v>479</v>
      </c>
      <c r="D50" t="s">
        <v>480</v>
      </c>
      <c r="E50" t="s">
        <v>497</v>
      </c>
      <c r="F50">
        <v>2015</v>
      </c>
      <c r="G50" s="1">
        <v>7.7523148148148156E-4</v>
      </c>
      <c r="H50" s="1">
        <v>8.5428240740740744E-4</v>
      </c>
      <c r="I50" s="1">
        <v>1.6295138888888889E-3</v>
      </c>
      <c r="K50">
        <v>120586</v>
      </c>
      <c r="L50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7.7523148148148156E-4</v>
      </c>
      <c r="M50" s="3">
        <f>IF(Table12[[#This Row],[run 1 times]]="",999.99,IF(Table12[[#This Row],[run 1 times]]=$S$3,0,MAX(0,ROUND(((Table12[[#This Row],[run 1 times]]-$S$3)/$S$3)*$S$6,2))))</f>
        <v>297</v>
      </c>
      <c r="N50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8.5428240740740744E-4</v>
      </c>
      <c r="O50" s="3">
        <f>IF(Table12[[#This Row],[run2 times]]="",999.99,IF(Table12[[#This Row],[run2 times]]=$T$3,0,MAX(0,ROUND(((Table12[[#This Row],[run2 times]]-$T$3)/$T$3)*$S$6,2))))</f>
        <v>342.05</v>
      </c>
      <c r="P50" s="2">
        <f>IF(OR(Table12[[#This Row],[run 1 times]]="",Table12[[#This Row],[run2 times]]=""),"",Table12[[#This Row],[run 1 times]]+Table12[[#This Row],[run2 times]])</f>
        <v>1.6295138888888891E-3</v>
      </c>
      <c r="Q50" s="3">
        <f>IF(Table12[[#This Row],[total time]]="",999.99,IF(Table12[[#This Row],[total time]]=$U$3,0,MAX(0,ROUND(((Table12[[#This Row],[total time]]-$U$3)/$U$3)*$S$6,2))))</f>
        <v>319.06</v>
      </c>
    </row>
    <row r="51" spans="1:17" x14ac:dyDescent="0.3">
      <c r="A51">
        <v>29</v>
      </c>
      <c r="B51">
        <v>29</v>
      </c>
      <c r="C51" t="s">
        <v>257</v>
      </c>
      <c r="D51" t="s">
        <v>480</v>
      </c>
      <c r="E51" t="s">
        <v>496</v>
      </c>
      <c r="F51">
        <v>2014</v>
      </c>
      <c r="G51" s="1">
        <v>7.7777777777777784E-4</v>
      </c>
      <c r="H51" s="1">
        <v>8.2928240740740749E-4</v>
      </c>
      <c r="I51" s="1">
        <v>1.6070601851851851E-3</v>
      </c>
      <c r="K51">
        <v>120660</v>
      </c>
      <c r="L51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7.7777777777777784E-4</v>
      </c>
      <c r="M51" s="3">
        <f>IF(Table12[[#This Row],[run 1 times]]="",999.99,IF(Table12[[#This Row],[run 1 times]]=$S$3,0,MAX(0,ROUND(((Table12[[#This Row],[run 1 times]]-$S$3)/$S$3)*$S$6,2))))</f>
        <v>300.37</v>
      </c>
      <c r="N51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8.2928240740740749E-4</v>
      </c>
      <c r="O51" s="3">
        <f>IF(Table12[[#This Row],[run2 times]]="",999.99,IF(Table12[[#This Row],[run2 times]]=$T$3,0,MAX(0,ROUND(((Table12[[#This Row],[run2 times]]-$T$3)/$T$3)*$S$6,2))))</f>
        <v>310.68</v>
      </c>
      <c r="P51" s="2">
        <f>IF(OR(Table12[[#This Row],[run 1 times]]="",Table12[[#This Row],[run2 times]]=""),"",Table12[[#This Row],[run 1 times]]+Table12[[#This Row],[run2 times]])</f>
        <v>1.6070601851851853E-3</v>
      </c>
      <c r="Q51" s="3">
        <f>IF(Table12[[#This Row],[total time]]="",999.99,IF(Table12[[#This Row],[total time]]=$U$3,0,MAX(0,ROUND(((Table12[[#This Row],[total time]]-$U$3)/$U$3)*$S$6,2))))</f>
        <v>304.61</v>
      </c>
    </row>
    <row r="52" spans="1:17" x14ac:dyDescent="0.3">
      <c r="A52">
        <v>45</v>
      </c>
      <c r="B52">
        <v>45</v>
      </c>
      <c r="C52" t="s">
        <v>257</v>
      </c>
      <c r="D52" t="s">
        <v>480</v>
      </c>
      <c r="E52" t="s">
        <v>495</v>
      </c>
      <c r="F52">
        <v>2014</v>
      </c>
      <c r="G52" s="1">
        <v>7.8090277777777771E-4</v>
      </c>
      <c r="H52" s="1">
        <v>8.255787037037037E-4</v>
      </c>
      <c r="I52" s="1">
        <v>1.6064814814814815E-3</v>
      </c>
      <c r="K52">
        <v>120662</v>
      </c>
      <c r="L52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7.8090277777777771E-4</v>
      </c>
      <c r="M52" s="3">
        <f>IF(Table12[[#This Row],[run 1 times]]="",999.99,IF(Table12[[#This Row],[run 1 times]]=$S$3,0,MAX(0,ROUND(((Table12[[#This Row],[run 1 times]]-$S$3)/$S$3)*$S$6,2))))</f>
        <v>304.51</v>
      </c>
      <c r="N52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8.255787037037037E-4</v>
      </c>
      <c r="O52" s="3">
        <f>IF(Table12[[#This Row],[run2 times]]="",999.99,IF(Table12[[#This Row],[run2 times]]=$T$3,0,MAX(0,ROUND(((Table12[[#This Row],[run2 times]]-$T$3)/$T$3)*$S$6,2))))</f>
        <v>306.02999999999997</v>
      </c>
      <c r="P52" s="2">
        <f>IF(OR(Table12[[#This Row],[run 1 times]]="",Table12[[#This Row],[run2 times]]=""),"",Table12[[#This Row],[run 1 times]]+Table12[[#This Row],[run2 times]])</f>
        <v>1.6064814814814813E-3</v>
      </c>
      <c r="Q52" s="3">
        <f>IF(Table12[[#This Row],[total time]]="",999.99,IF(Table12[[#This Row],[total time]]=$U$3,0,MAX(0,ROUND(((Table12[[#This Row],[total time]]-$U$3)/$U$3)*$S$6,2))))</f>
        <v>304.23</v>
      </c>
    </row>
    <row r="53" spans="1:17" x14ac:dyDescent="0.3">
      <c r="A53">
        <v>16</v>
      </c>
      <c r="B53">
        <v>16</v>
      </c>
      <c r="C53" t="s">
        <v>257</v>
      </c>
      <c r="D53" t="s">
        <v>480</v>
      </c>
      <c r="E53" t="s">
        <v>520</v>
      </c>
      <c r="F53">
        <v>2015</v>
      </c>
      <c r="G53" s="1" t="s">
        <v>518</v>
      </c>
      <c r="H53" s="1">
        <v>8.7407407407407399E-4</v>
      </c>
      <c r="I53" s="1"/>
      <c r="K53">
        <v>120664</v>
      </c>
      <c r="L53" s="2" t="str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53" s="3">
        <f>IF(Table12[[#This Row],[run 1 times]]="",999.99,IF(Table12[[#This Row],[run 1 times]]=$S$3,0,MAX(0,ROUND(((Table12[[#This Row],[run 1 times]]-$S$3)/$S$3)*$S$6,2))))</f>
        <v>999.99</v>
      </c>
      <c r="N53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8.7407407407407399E-4</v>
      </c>
      <c r="O53" s="3">
        <f>IF(Table12[[#This Row],[run2 times]]="",999.99,IF(Table12[[#This Row],[run2 times]]=$T$3,0,MAX(0,ROUND(((Table12[[#This Row],[run2 times]]-$T$3)/$T$3)*$S$6,2))))</f>
        <v>366.89</v>
      </c>
      <c r="P53" s="2" t="str">
        <f>IF(OR(Table12[[#This Row],[run 1 times]]="",Table12[[#This Row],[run2 times]]=""),"",Table12[[#This Row],[run 1 times]]+Table12[[#This Row],[run2 times]])</f>
        <v/>
      </c>
      <c r="Q53" s="3">
        <f>IF(Table12[[#This Row],[total time]]="",999.99,IF(Table12[[#This Row],[total time]]=$U$3,0,MAX(0,ROUND(((Table12[[#This Row],[total time]]-$U$3)/$U$3)*$S$6,2))))</f>
        <v>999.99</v>
      </c>
    </row>
    <row r="54" spans="1:17" x14ac:dyDescent="0.3">
      <c r="A54">
        <v>46</v>
      </c>
      <c r="B54">
        <v>46</v>
      </c>
      <c r="C54" t="s">
        <v>257</v>
      </c>
      <c r="D54" t="s">
        <v>480</v>
      </c>
      <c r="E54" t="s">
        <v>511</v>
      </c>
      <c r="F54">
        <v>2014</v>
      </c>
      <c r="G54" s="1" t="s">
        <v>512</v>
      </c>
      <c r="H54" s="1" t="s">
        <v>512</v>
      </c>
      <c r="I54" s="1"/>
      <c r="K54">
        <v>120667</v>
      </c>
      <c r="L54" s="2" t="str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54" s="3">
        <f>IF(Table12[[#This Row],[run 1 times]]="",999.99,IF(Table12[[#This Row],[run 1 times]]=$S$3,0,MAX(0,ROUND(((Table12[[#This Row],[run 1 times]]-$S$3)/$S$3)*$S$6,2))))</f>
        <v>999.99</v>
      </c>
      <c r="N54" s="2" t="str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54" s="3">
        <f>IF(Table12[[#This Row],[run2 times]]="",999.99,IF(Table12[[#This Row],[run2 times]]=$T$3,0,MAX(0,ROUND(((Table12[[#This Row],[run2 times]]-$T$3)/$T$3)*$S$6,2))))</f>
        <v>999.99</v>
      </c>
      <c r="P54" s="2" t="str">
        <f>IF(OR(Table12[[#This Row],[run 1 times]]="",Table12[[#This Row],[run2 times]]=""),"",Table12[[#This Row],[run 1 times]]+Table12[[#This Row],[run2 times]])</f>
        <v/>
      </c>
      <c r="Q54" s="3">
        <f>IF(Table12[[#This Row],[total time]]="",999.99,IF(Table12[[#This Row],[total time]]=$U$3,0,MAX(0,ROUND(((Table12[[#This Row],[total time]]-$U$3)/$U$3)*$S$6,2))))</f>
        <v>999.99</v>
      </c>
    </row>
    <row r="55" spans="1:17" x14ac:dyDescent="0.3">
      <c r="A55">
        <v>20</v>
      </c>
      <c r="B55">
        <v>20</v>
      </c>
      <c r="C55" t="s">
        <v>257</v>
      </c>
      <c r="D55" t="s">
        <v>522</v>
      </c>
      <c r="E55" t="s">
        <v>543</v>
      </c>
      <c r="F55">
        <v>2013</v>
      </c>
      <c r="G55" s="1">
        <v>58.66</v>
      </c>
      <c r="H55" s="1" t="s">
        <v>512</v>
      </c>
      <c r="I55" s="1"/>
      <c r="K55">
        <v>121965</v>
      </c>
      <c r="L55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6.789351851851852E-4</v>
      </c>
      <c r="M55" s="3">
        <f>IF(Table12[[#This Row],[run 1 times]]="",999.99,IF(Table12[[#This Row],[run 1 times]]=$S$3,0,MAX(0,ROUND(((Table12[[#This Row],[run 1 times]]-$S$3)/$S$3)*$S$6,2))))</f>
        <v>169.43</v>
      </c>
      <c r="N55" s="2" t="str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55" s="3">
        <f>IF(Table12[[#This Row],[run2 times]]="",999.99,IF(Table12[[#This Row],[run2 times]]=$T$3,0,MAX(0,ROUND(((Table12[[#This Row],[run2 times]]-$T$3)/$T$3)*$S$6,2))))</f>
        <v>999.99</v>
      </c>
      <c r="P55" s="2" t="str">
        <f>IF(OR(Table12[[#This Row],[run 1 times]]="",Table12[[#This Row],[run2 times]]=""),"",Table12[[#This Row],[run 1 times]]+Table12[[#This Row],[run2 times]])</f>
        <v/>
      </c>
      <c r="Q55" s="3">
        <f>IF(Table12[[#This Row],[total time]]="",999.99,IF(Table12[[#This Row],[total time]]=$U$3,0,MAX(0,ROUND(((Table12[[#This Row],[total time]]-$U$3)/$U$3)*$S$6,2))))</f>
        <v>999.99</v>
      </c>
    </row>
    <row r="56" spans="1:17" x14ac:dyDescent="0.3">
      <c r="A56">
        <v>14</v>
      </c>
      <c r="B56">
        <v>14</v>
      </c>
      <c r="C56" t="s">
        <v>373</v>
      </c>
      <c r="D56" t="s">
        <v>480</v>
      </c>
      <c r="E56" t="s">
        <v>502</v>
      </c>
      <c r="F56">
        <v>2014</v>
      </c>
      <c r="G56" s="1">
        <v>8.406249999999999E-4</v>
      </c>
      <c r="H56" s="1">
        <v>9.6898148148148147E-4</v>
      </c>
      <c r="I56" s="1">
        <v>1.8096064814814815E-3</v>
      </c>
      <c r="K56">
        <v>122059</v>
      </c>
      <c r="L56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8.406249999999999E-4</v>
      </c>
      <c r="M56" s="3">
        <f>IF(Table12[[#This Row],[run 1 times]]="",999.99,IF(Table12[[#This Row],[run 1 times]]=$S$3,0,MAX(0,ROUND(((Table12[[#This Row],[run 1 times]]-$S$3)/$S$3)*$S$6,2))))</f>
        <v>383.63</v>
      </c>
      <c r="N56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9.6898148148148147E-4</v>
      </c>
      <c r="O56" s="3">
        <f>IF(Table12[[#This Row],[run2 times]]="",999.99,IF(Table12[[#This Row],[run2 times]]=$T$3,0,MAX(0,ROUND(((Table12[[#This Row],[run2 times]]-$T$3)/$T$3)*$S$6,2))))</f>
        <v>485.99</v>
      </c>
      <c r="P56" s="2">
        <f>IF(OR(Table12[[#This Row],[run 1 times]]="",Table12[[#This Row],[run2 times]]=""),"",Table12[[#This Row],[run 1 times]]+Table12[[#This Row],[run2 times]])</f>
        <v>1.8096064814814815E-3</v>
      </c>
      <c r="Q56" s="3">
        <f>IF(Table12[[#This Row],[total time]]="",999.99,IF(Table12[[#This Row],[total time]]=$U$3,0,MAX(0,ROUND(((Table12[[#This Row],[total time]]-$U$3)/$U$3)*$S$6,2))))</f>
        <v>435</v>
      </c>
    </row>
    <row r="57" spans="1:17" x14ac:dyDescent="0.3">
      <c r="A57">
        <v>3</v>
      </c>
      <c r="B57">
        <v>3</v>
      </c>
      <c r="C57" t="s">
        <v>24</v>
      </c>
      <c r="D57" t="s">
        <v>480</v>
      </c>
      <c r="E57" t="s">
        <v>507</v>
      </c>
      <c r="F57">
        <v>2015</v>
      </c>
      <c r="G57" s="1">
        <v>8.9328703703703716E-4</v>
      </c>
      <c r="H57" s="1">
        <v>1.015625E-3</v>
      </c>
      <c r="I57" s="1">
        <v>1.9089120370370371E-3</v>
      </c>
      <c r="K57">
        <v>123566</v>
      </c>
      <c r="L57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8.9328703703703716E-4</v>
      </c>
      <c r="M57" s="3">
        <f>IF(Table12[[#This Row],[run 1 times]]="",999.99,IF(Table12[[#This Row],[run 1 times]]=$S$3,0,MAX(0,ROUND(((Table12[[#This Row],[run 1 times]]-$S$3)/$S$3)*$S$6,2))))</f>
        <v>453.39</v>
      </c>
      <c r="N57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1.015625E-3</v>
      </c>
      <c r="O57" s="3">
        <f>IF(Table12[[#This Row],[run2 times]]="",999.99,IF(Table12[[#This Row],[run2 times]]=$T$3,0,MAX(0,ROUND(((Table12[[#This Row],[run2 times]]-$T$3)/$T$3)*$S$6,2))))</f>
        <v>544.52</v>
      </c>
      <c r="P57" s="2">
        <f>IF(OR(Table12[[#This Row],[run 1 times]]="",Table12[[#This Row],[run2 times]]=""),"",Table12[[#This Row],[run 1 times]]+Table12[[#This Row],[run2 times]])</f>
        <v>1.9089120370370371E-3</v>
      </c>
      <c r="Q57" s="3">
        <f>IF(Table12[[#This Row],[total time]]="",999.99,IF(Table12[[#This Row],[total time]]=$U$3,0,MAX(0,ROUND(((Table12[[#This Row],[total time]]-$U$3)/$U$3)*$S$6,2))))</f>
        <v>498.94</v>
      </c>
    </row>
    <row r="58" spans="1:17" x14ac:dyDescent="0.3">
      <c r="A58">
        <v>13</v>
      </c>
      <c r="B58">
        <v>13</v>
      </c>
      <c r="C58" t="s">
        <v>257</v>
      </c>
      <c r="D58" t="s">
        <v>480</v>
      </c>
      <c r="E58" t="s">
        <v>493</v>
      </c>
      <c r="F58">
        <v>2014</v>
      </c>
      <c r="G58" s="1">
        <v>7.4814814814814817E-4</v>
      </c>
      <c r="H58" s="1">
        <v>8.3692129629629633E-4</v>
      </c>
      <c r="I58" s="1">
        <v>1.5850694444444443E-3</v>
      </c>
      <c r="K58">
        <v>1206668</v>
      </c>
      <c r="L58" s="2">
        <f>_xlfn.LET(_xlpm.x,Table12[[#This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7.4814814814814817E-4</v>
      </c>
      <c r="M58" s="3">
        <f>IF(Table12[[#This Row],[run 1 times]]="",999.99,IF(Table12[[#This Row],[run 1 times]]=$S$3,0,MAX(0,ROUND(((Table12[[#This Row],[run 1 times]]-$S$3)/$S$3)*$S$6,2))))</f>
        <v>261.12</v>
      </c>
      <c r="N58" s="2">
        <f>_xlfn.LET(_xlpm.x,Table12[[#This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8.3692129629629633E-4</v>
      </c>
      <c r="O58" s="3">
        <f>IF(Table12[[#This Row],[run2 times]]="",999.99,IF(Table12[[#This Row],[run2 times]]=$T$3,0,MAX(0,ROUND(((Table12[[#This Row],[run2 times]]-$T$3)/$T$3)*$S$6,2))))</f>
        <v>320.26</v>
      </c>
      <c r="P58" s="2">
        <f>IF(OR(Table12[[#This Row],[run 1 times]]="",Table12[[#This Row],[run2 times]]=""),"",Table12[[#This Row],[run 1 times]]+Table12[[#This Row],[run2 times]])</f>
        <v>1.5850694444444445E-3</v>
      </c>
      <c r="Q58" s="3">
        <f>IF(Table12[[#This Row],[total time]]="",999.99,IF(Table12[[#This Row],[total time]]=$U$3,0,MAX(0,ROUND(((Table12[[#This Row],[total time]]-$U$3)/$U$3)*$S$6,2))))</f>
        <v>290.45</v>
      </c>
    </row>
  </sheetData>
  <mergeCells count="2">
    <mergeCell ref="A1:U1"/>
    <mergeCell ref="W1:AQ1"/>
  </mergeCells>
  <pageMargins left="0.7" right="0.7" top="0.75" bottom="0.75" header="0.3" footer="0.3"/>
  <tableParts count="6">
    <tablePart r:id="rId1"/>
    <tablePart r:id="rId2"/>
    <tablePart r:id="rId3"/>
    <tablePart r:id="rId4"/>
    <tablePart r:id="rId5"/>
    <tablePart r:id="rId6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2E422E-B8DE-4828-8863-6257B900AE21}">
  <dimension ref="A1:AQ49"/>
  <sheetViews>
    <sheetView topLeftCell="T1" workbookViewId="0">
      <selection activeCell="AA10" sqref="AA10"/>
    </sheetView>
  </sheetViews>
  <sheetFormatPr defaultRowHeight="14.4" x14ac:dyDescent="0.3"/>
  <cols>
    <col min="1" max="1" width="13.5546875" customWidth="1"/>
    <col min="3" max="3" width="12.109375" customWidth="1"/>
    <col min="5" max="5" width="14.88671875" bestFit="1" customWidth="1"/>
    <col min="6" max="6" width="12.5546875" customWidth="1"/>
    <col min="7" max="7" width="15.21875" customWidth="1"/>
    <col min="8" max="8" width="17.6640625" customWidth="1"/>
    <col min="9" max="9" width="16.44140625" customWidth="1"/>
    <col min="10" max="10" width="12.21875" customWidth="1"/>
    <col min="11" max="11" width="13.109375" customWidth="1"/>
    <col min="12" max="12" width="11.6640625" customWidth="1"/>
    <col min="13" max="13" width="12.109375" customWidth="1"/>
    <col min="14" max="14" width="11.33203125" customWidth="1"/>
    <col min="15" max="15" width="12.109375" customWidth="1"/>
    <col min="16" max="16" width="10.33203125" customWidth="1"/>
    <col min="17" max="17" width="13.88671875" customWidth="1"/>
    <col min="19" max="19" width="14.5546875" customWidth="1"/>
    <col min="20" max="20" width="15.5546875" customWidth="1"/>
    <col min="21" max="21" width="18.5546875" customWidth="1"/>
    <col min="27" max="27" width="20.88671875" bestFit="1" customWidth="1"/>
  </cols>
  <sheetData>
    <row r="1" spans="1:43" ht="21" x14ac:dyDescent="0.4">
      <c r="A1" s="8" t="s">
        <v>589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W1" s="8" t="s">
        <v>590</v>
      </c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</row>
    <row r="2" spans="1:43" x14ac:dyDescent="0.3">
      <c r="A2" t="s">
        <v>459</v>
      </c>
      <c r="B2" t="s">
        <v>460</v>
      </c>
      <c r="C2" t="s">
        <v>461</v>
      </c>
      <c r="D2" t="s">
        <v>462</v>
      </c>
      <c r="E2" t="s">
        <v>463</v>
      </c>
      <c r="F2" t="s">
        <v>464</v>
      </c>
      <c r="G2" t="s">
        <v>465</v>
      </c>
      <c r="H2" t="s">
        <v>466</v>
      </c>
      <c r="I2" t="s">
        <v>467</v>
      </c>
      <c r="J2" t="s">
        <v>468</v>
      </c>
      <c r="K2" t="s">
        <v>469</v>
      </c>
      <c r="L2" t="s">
        <v>470</v>
      </c>
      <c r="M2" t="s">
        <v>471</v>
      </c>
      <c r="N2" t="s">
        <v>472</v>
      </c>
      <c r="O2" t="s">
        <v>473</v>
      </c>
      <c r="P2" t="s">
        <v>474</v>
      </c>
      <c r="Q2" t="s">
        <v>475</v>
      </c>
      <c r="S2" t="s">
        <v>476</v>
      </c>
      <c r="T2" t="s">
        <v>477</v>
      </c>
      <c r="U2" t="s">
        <v>478</v>
      </c>
      <c r="W2" t="s">
        <v>459</v>
      </c>
      <c r="X2" t="s">
        <v>460</v>
      </c>
      <c r="Y2" t="s">
        <v>461</v>
      </c>
      <c r="Z2" t="s">
        <v>462</v>
      </c>
      <c r="AA2" t="s">
        <v>463</v>
      </c>
      <c r="AB2" t="s">
        <v>464</v>
      </c>
      <c r="AC2" t="s">
        <v>465</v>
      </c>
      <c r="AD2" t="s">
        <v>466</v>
      </c>
      <c r="AE2" t="s">
        <v>467</v>
      </c>
      <c r="AF2" t="s">
        <v>468</v>
      </c>
      <c r="AG2" t="s">
        <v>469</v>
      </c>
      <c r="AH2" t="s">
        <v>470</v>
      </c>
      <c r="AI2" t="s">
        <v>471</v>
      </c>
      <c r="AJ2" t="s">
        <v>472</v>
      </c>
      <c r="AK2" t="s">
        <v>473</v>
      </c>
      <c r="AL2" t="s">
        <v>474</v>
      </c>
      <c r="AM2" t="s">
        <v>475</v>
      </c>
      <c r="AO2" t="s">
        <v>476</v>
      </c>
      <c r="AP2" t="s">
        <v>477</v>
      </c>
      <c r="AQ2" t="s">
        <v>478</v>
      </c>
    </row>
    <row r="3" spans="1:43" x14ac:dyDescent="0.3">
      <c r="A3">
        <v>11</v>
      </c>
      <c r="B3">
        <v>111</v>
      </c>
      <c r="C3" t="s">
        <v>479</v>
      </c>
      <c r="D3" t="s">
        <v>480</v>
      </c>
      <c r="E3" t="s">
        <v>669</v>
      </c>
      <c r="F3">
        <v>2014</v>
      </c>
      <c r="G3" s="1">
        <v>45.86</v>
      </c>
      <c r="H3" s="1">
        <v>50.15</v>
      </c>
      <c r="I3" s="1">
        <v>1.1112268518518517E-3</v>
      </c>
      <c r="K3">
        <v>103277</v>
      </c>
      <c r="L3" s="2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5.3078703703703708E-4</v>
      </c>
      <c r="M3" s="3">
        <f>IF(Table127[[#This Row],[run 1 times]]="",999.99,IF(Table127[[#This Row],[run 1 times]]=$S$3,0,MAX(0,ROUND(((Table127[[#This Row],[run 1 times]]-$S$3)/$S$3)*$S$6,2))))</f>
        <v>33.46</v>
      </c>
      <c r="N3" s="2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5.8043981481481477E-4</v>
      </c>
      <c r="O3" s="3">
        <f>IF(Table127[[#This Row],[run2 times]]="",999.99,IF(Table127[[#This Row],[run2 times]]=$T$3,0,MAX(0,ROUND(((Table127[[#This Row],[run2 times]]-$T$3)/$T$3)*$S$6,2))))</f>
        <v>3.07</v>
      </c>
      <c r="P3" s="2">
        <f>IF(OR(Table127[[#This Row],[run 1 times]]="",Table127[[#This Row],[run2 times]]=""),"",Table127[[#This Row],[run 1 times]]+Table127[[#This Row],[run2 times]])</f>
        <v>1.111226851851852E-3</v>
      </c>
      <c r="Q3" s="3">
        <f>IF(Table127[[#This Row],[total time]]="",999.99,IF(Table127[[#This Row],[total time]]=$U$3,0,MAX(0,ROUND(((Table127[[#This Row],[total time]]-$U$3)/$U$3)*$S$6,2))))</f>
        <v>17.28</v>
      </c>
      <c r="S3" s="1">
        <f>MIN(Table127[run 1 times])</f>
        <v>5.0752314814814811E-4</v>
      </c>
      <c r="T3" s="1">
        <f>MIN(Table127[run2 times])</f>
        <v>5.7800925925925923E-4</v>
      </c>
      <c r="U3" s="1">
        <f>MIN(Table127[total time])</f>
        <v>1.0855324074074075E-3</v>
      </c>
      <c r="W3">
        <v>1</v>
      </c>
      <c r="X3">
        <v>150</v>
      </c>
      <c r="Y3" t="s">
        <v>479</v>
      </c>
      <c r="Z3" t="s">
        <v>547</v>
      </c>
      <c r="AA3" t="s">
        <v>768</v>
      </c>
      <c r="AB3">
        <v>2011</v>
      </c>
      <c r="AC3" s="1" t="s">
        <v>510</v>
      </c>
      <c r="AD3" s="1" t="s">
        <v>510</v>
      </c>
      <c r="AE3" s="1"/>
      <c r="AG3">
        <v>89891</v>
      </c>
      <c r="AH3" s="2" t="str">
        <f>_xlfn.LET(_xlpm.x,Table122110[[#This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3" s="3">
        <f>IF(Table122110[[#This Row],[run 1 times]]="",999.99,IF(Table122110[[#This Row],[run 1 times]]=$AO$3,0,MAX(0,ROUND(((Table122110[[#This Row],[run 1 times]]-$AO$3)/$AO$3)*$AO$6,2))))</f>
        <v>999.99</v>
      </c>
      <c r="AJ3" s="2" t="str">
        <f>_xlfn.LET(_xlpm.x,Table122110[[#This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3" s="3">
        <f>IF(Table122110[[#This Row],[run2 times]]="",999.99,IF(Table122110[[#This Row],[run2 times]]=$AP$3,0,MAX(0,ROUND(((Table122110[[#This Row],[run2 times]]-$AP$3)/$AP$3)*$AO$6,2))))</f>
        <v>999.99</v>
      </c>
      <c r="AL3" s="2" t="str">
        <f>IF(OR(Table122110[[#This Row],[run 1 times]]="",Table122110[[#This Row],[run2 times]]=""),"",Table122110[[#This Row],[run 1 times]]+Table122110[[#This Row],[run2 times]])</f>
        <v/>
      </c>
      <c r="AM3" s="3">
        <f>IF(Table122110[[#This Row],[total time]]="",999.99,IF(Table122110[[#This Row],[total time]]=$AQ$3,0,MAX(0,ROUND(((Table122110[[#This Row],[total time]]-$AQ$3)/$AQ$3)*$AO$6,2))))</f>
        <v>999.99</v>
      </c>
      <c r="AO3" s="1">
        <f>MIN(Table122110[run 1 times])</f>
        <v>4.6828703703703702E-4</v>
      </c>
      <c r="AP3" s="1">
        <f>MIN(Table122110[run2 times])</f>
        <v>4.4479166666666669E-4</v>
      </c>
      <c r="AQ3" s="1">
        <f>MIN(Table122110[total time])</f>
        <v>9.248842592592593E-4</v>
      </c>
    </row>
    <row r="4" spans="1:43" x14ac:dyDescent="0.3">
      <c r="A4">
        <v>17</v>
      </c>
      <c r="B4">
        <v>117</v>
      </c>
      <c r="C4" t="s">
        <v>257</v>
      </c>
      <c r="D4" t="s">
        <v>480</v>
      </c>
      <c r="E4" t="s">
        <v>671</v>
      </c>
      <c r="F4">
        <v>2015</v>
      </c>
      <c r="G4" s="1" t="s">
        <v>512</v>
      </c>
      <c r="H4" s="1">
        <v>53.87</v>
      </c>
      <c r="I4" s="1"/>
      <c r="K4">
        <v>119078</v>
      </c>
      <c r="L4" s="2" t="str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4" s="3">
        <f>IF(Table127[[#This Row],[run 1 times]]="",999.99,IF(Table127[[#This Row],[run 1 times]]=$S$3,0,MAX(0,ROUND(((Table127[[#This Row],[run 1 times]]-$S$3)/$S$3)*$S$6,2))))</f>
        <v>999.99</v>
      </c>
      <c r="N4" s="2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6.2349537037037039E-4</v>
      </c>
      <c r="O4" s="3">
        <f>IF(Table127[[#This Row],[run2 times]]="",999.99,IF(Table127[[#This Row],[run2 times]]=$T$3,0,MAX(0,ROUND(((Table127[[#This Row],[run2 times]]-$T$3)/$T$3)*$S$6,2))))</f>
        <v>57.45</v>
      </c>
      <c r="P4" s="2" t="str">
        <f>IF(OR(Table127[[#This Row],[run 1 times]]="",Table127[[#This Row],[run2 times]]=""),"",Table127[[#This Row],[run 1 times]]+Table127[[#This Row],[run2 times]])</f>
        <v/>
      </c>
      <c r="Q4" s="3">
        <f>IF(Table127[[#This Row],[total time]]="",999.99,IF(Table127[[#This Row],[total time]]=$U$3,0,MAX(0,ROUND(((Table127[[#This Row],[total time]]-$U$3)/$U$3)*$S$6,2))))</f>
        <v>999.99</v>
      </c>
      <c r="W4">
        <v>2</v>
      </c>
      <c r="X4">
        <v>151</v>
      </c>
      <c r="Y4" t="s">
        <v>257</v>
      </c>
      <c r="Z4" t="s">
        <v>547</v>
      </c>
      <c r="AA4" t="s">
        <v>741</v>
      </c>
      <c r="AB4">
        <v>2010</v>
      </c>
      <c r="AC4" s="1">
        <v>49.61</v>
      </c>
      <c r="AD4" s="1">
        <v>50.19</v>
      </c>
      <c r="AE4" s="1">
        <v>1.1550925925925925E-3</v>
      </c>
      <c r="AG4">
        <v>102719</v>
      </c>
      <c r="AH4" s="2">
        <f>_xlfn.LET(_xlpm.x,Table122110[[#This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5.7418981481481481E-4</v>
      </c>
      <c r="AI4" s="3">
        <f>IF(Table122110[[#This Row],[run 1 times]]="",999.99,IF(Table122110[[#This Row],[run 1 times]]=$AO$3,0,MAX(0,ROUND(((Table122110[[#This Row],[run 1 times]]-$AO$3)/$AO$3)*$AO$6,2))))</f>
        <v>165.09</v>
      </c>
      <c r="AJ4" s="2">
        <f>_xlfn.LET(_xlpm.x,Table122110[[#This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5.8090277777777773E-4</v>
      </c>
      <c r="AK4" s="3">
        <f>IF(Table122110[[#This Row],[run2 times]]="",999.99,IF(Table122110[[#This Row],[run2 times]]=$AP$3,0,MAX(0,ROUND(((Table122110[[#This Row],[run2 times]]-$AP$3)/$AP$3)*$AO$6,2))))</f>
        <v>223.39</v>
      </c>
      <c r="AL4" s="2">
        <f>IF(OR(Table122110[[#This Row],[run 1 times]]="",Table122110[[#This Row],[run2 times]]=""),"",Table122110[[#This Row],[run 1 times]]+Table122110[[#This Row],[run2 times]])</f>
        <v>1.1550925925925925E-3</v>
      </c>
      <c r="AM4" s="3">
        <f>IF(Table122110[[#This Row],[total time]]="",999.99,IF(Table122110[[#This Row],[total time]]=$AQ$3,0,MAX(0,ROUND(((Table122110[[#This Row],[total time]]-$AQ$3)/$AQ$3)*$AO$6,2))))</f>
        <v>181.7</v>
      </c>
    </row>
    <row r="5" spans="1:43" x14ac:dyDescent="0.3">
      <c r="A5">
        <v>3</v>
      </c>
      <c r="B5">
        <v>103</v>
      </c>
      <c r="C5" t="s">
        <v>223</v>
      </c>
      <c r="D5" t="s">
        <v>480</v>
      </c>
      <c r="E5" t="s">
        <v>676</v>
      </c>
      <c r="F5">
        <v>2015</v>
      </c>
      <c r="G5" s="1">
        <v>55.64</v>
      </c>
      <c r="H5" s="1">
        <v>59.91</v>
      </c>
      <c r="I5" s="1">
        <v>1.3373842592592593E-3</v>
      </c>
      <c r="K5">
        <v>107257</v>
      </c>
      <c r="L5" s="2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6.4398148148148149E-4</v>
      </c>
      <c r="M5" s="3">
        <f>IF(Table127[[#This Row],[run 1 times]]="",999.99,IF(Table127[[#This Row],[run 1 times]]=$S$3,0,MAX(0,ROUND(((Table127[[#This Row],[run 1 times]]-$S$3)/$S$3)*$S$6,2))))</f>
        <v>196.28</v>
      </c>
      <c r="N5" s="2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6.934027777777777E-4</v>
      </c>
      <c r="O5" s="3">
        <f>IF(Table127[[#This Row],[run2 times]]="",999.99,IF(Table127[[#This Row],[run2 times]]=$T$3,0,MAX(0,ROUND(((Table127[[#This Row],[run2 times]]-$T$3)/$T$3)*$S$6,2))))</f>
        <v>145.74</v>
      </c>
      <c r="P5" s="2">
        <f>IF(OR(Table127[[#This Row],[run 1 times]]="",Table127[[#This Row],[run2 times]]=""),"",Table127[[#This Row],[run 1 times]]+Table127[[#This Row],[run2 times]])</f>
        <v>1.3373842592592591E-3</v>
      </c>
      <c r="Q5" s="3">
        <f>IF(Table127[[#This Row],[total time]]="",999.99,IF(Table127[[#This Row],[total time]]=$U$3,0,MAX(0,ROUND(((Table127[[#This Row],[total time]]-$U$3)/$U$3)*$S$6,2))))</f>
        <v>169.37</v>
      </c>
      <c r="S5" t="s">
        <v>484</v>
      </c>
      <c r="T5" t="s">
        <v>485</v>
      </c>
      <c r="U5" t="s">
        <v>486</v>
      </c>
      <c r="W5">
        <v>3</v>
      </c>
      <c r="X5">
        <v>152</v>
      </c>
      <c r="Y5" t="s">
        <v>24</v>
      </c>
      <c r="Z5" t="s">
        <v>547</v>
      </c>
      <c r="AA5" t="s">
        <v>742</v>
      </c>
      <c r="AB5">
        <v>2010</v>
      </c>
      <c r="AC5" s="1" t="s">
        <v>512</v>
      </c>
      <c r="AD5" s="1">
        <v>41.5</v>
      </c>
      <c r="AE5" s="1"/>
      <c r="AG5">
        <v>89651</v>
      </c>
      <c r="AH5" s="2" t="str">
        <f>_xlfn.LET(_xlpm.x,Table122110[[#This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5" s="3">
        <f>IF(Table122110[[#This Row],[run 1 times]]="",999.99,IF(Table122110[[#This Row],[run 1 times]]=$AO$3,0,MAX(0,ROUND(((Table122110[[#This Row],[run 1 times]]-$AO$3)/$AO$3)*$AO$6,2))))</f>
        <v>999.99</v>
      </c>
      <c r="AJ5" s="2">
        <f>_xlfn.LET(_xlpm.x,Table122110[[#This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4.803240740740741E-4</v>
      </c>
      <c r="AK5" s="3">
        <f>IF(Table122110[[#This Row],[run2 times]]="",999.99,IF(Table122110[[#This Row],[run2 times]]=$AP$3,0,MAX(0,ROUND(((Table122110[[#This Row],[run2 times]]-$AP$3)/$AP$3)*$AO$6,2))))</f>
        <v>58.32</v>
      </c>
      <c r="AL5" s="2" t="str">
        <f>IF(OR(Table122110[[#This Row],[run 1 times]]="",Table122110[[#This Row],[run2 times]]=""),"",Table122110[[#This Row],[run 1 times]]+Table122110[[#This Row],[run2 times]])</f>
        <v/>
      </c>
      <c r="AM5" s="3">
        <f>IF(Table122110[[#This Row],[total time]]="",999.99,IF(Table122110[[#This Row],[total time]]=$AQ$3,0,MAX(0,ROUND(((Table122110[[#This Row],[total time]]-$AQ$3)/$AQ$3)*$AO$6,2))))</f>
        <v>999.99</v>
      </c>
      <c r="AO5" t="s">
        <v>484</v>
      </c>
      <c r="AP5" t="s">
        <v>485</v>
      </c>
      <c r="AQ5" t="s">
        <v>486</v>
      </c>
    </row>
    <row r="6" spans="1:43" x14ac:dyDescent="0.3">
      <c r="A6">
        <v>8</v>
      </c>
      <c r="B6">
        <v>108</v>
      </c>
      <c r="C6" t="s">
        <v>479</v>
      </c>
      <c r="D6" t="s">
        <v>480</v>
      </c>
      <c r="E6" t="s">
        <v>679</v>
      </c>
      <c r="F6">
        <v>2014</v>
      </c>
      <c r="G6" s="1">
        <v>7.1608796296296297E-4</v>
      </c>
      <c r="H6" s="1">
        <v>7.5011574074074076E-4</v>
      </c>
      <c r="I6" s="1">
        <v>1.4662037037037037E-3</v>
      </c>
      <c r="K6">
        <v>103280</v>
      </c>
      <c r="L6" s="2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7.1608796296296297E-4</v>
      </c>
      <c r="M6" s="3">
        <f>IF(Table127[[#This Row],[run 1 times]]="",999.99,IF(Table127[[#This Row],[run 1 times]]=$S$3,0,MAX(0,ROUND(((Table127[[#This Row],[run 1 times]]-$S$3)/$S$3)*$S$6,2))))</f>
        <v>299.99</v>
      </c>
      <c r="N6" s="2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7.5011574074074076E-4</v>
      </c>
      <c r="O6" s="3">
        <f>IF(Table127[[#This Row],[run2 times]]="",999.99,IF(Table127[[#This Row],[run2 times]]=$T$3,0,MAX(0,ROUND(((Table127[[#This Row],[run2 times]]-$T$3)/$T$3)*$S$6,2))))</f>
        <v>217.36</v>
      </c>
      <c r="P6" s="2">
        <f>IF(OR(Table127[[#This Row],[run 1 times]]="",Table127[[#This Row],[run2 times]]=""),"",Table127[[#This Row],[run 1 times]]+Table127[[#This Row],[run2 times]])</f>
        <v>1.4662037037037037E-3</v>
      </c>
      <c r="Q6" s="3">
        <f>IF(Table127[[#This Row],[total time]]="",999.99,IF(Table127[[#This Row],[total time]]=$U$3,0,MAX(0,ROUND(((Table127[[#This Row],[total time]]-$U$3)/$U$3)*$S$6,2))))</f>
        <v>255.99</v>
      </c>
      <c r="S6">
        <v>730</v>
      </c>
      <c r="T6">
        <v>1010</v>
      </c>
      <c r="U6">
        <v>1190</v>
      </c>
      <c r="W6">
        <v>4</v>
      </c>
      <c r="X6">
        <v>153</v>
      </c>
      <c r="Y6" t="s">
        <v>257</v>
      </c>
      <c r="Z6" t="s">
        <v>547</v>
      </c>
      <c r="AA6" t="s">
        <v>743</v>
      </c>
      <c r="AB6">
        <v>2011</v>
      </c>
      <c r="AC6" s="1" t="s">
        <v>512</v>
      </c>
      <c r="AD6" s="1">
        <v>46.4</v>
      </c>
      <c r="AE6" s="1"/>
      <c r="AG6">
        <v>117685</v>
      </c>
      <c r="AH6" s="2" t="str">
        <f>_xlfn.LET(_xlpm.x,Table122110[[#This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6" s="3">
        <f>IF(Table122110[[#This Row],[run 1 times]]="",999.99,IF(Table122110[[#This Row],[run 1 times]]=$AO$3,0,MAX(0,ROUND(((Table122110[[#This Row],[run 1 times]]-$AO$3)/$AO$3)*$AO$6,2))))</f>
        <v>999.99</v>
      </c>
      <c r="AJ6" s="2">
        <f>_xlfn.LET(_xlpm.x,Table122110[[#This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5.3703703703703704E-4</v>
      </c>
      <c r="AK6" s="3">
        <f>IF(Table122110[[#This Row],[run2 times]]="",999.99,IF(Table122110[[#This Row],[run2 times]]=$AP$3,0,MAX(0,ROUND(((Table122110[[#This Row],[run2 times]]-$AP$3)/$AP$3)*$AO$6,2))))</f>
        <v>151.38999999999999</v>
      </c>
      <c r="AL6" s="2" t="str">
        <f>IF(OR(Table122110[[#This Row],[run 1 times]]="",Table122110[[#This Row],[run2 times]]=""),"",Table122110[[#This Row],[run 1 times]]+Table122110[[#This Row],[run2 times]])</f>
        <v/>
      </c>
      <c r="AM6" s="3">
        <f>IF(Table122110[[#This Row],[total time]]="",999.99,IF(Table122110[[#This Row],[total time]]=$AQ$3,0,MAX(0,ROUND(((Table122110[[#This Row],[total time]]-$AQ$3)/$AQ$3)*$AO$6,2))))</f>
        <v>999.99</v>
      </c>
      <c r="AO6">
        <v>730</v>
      </c>
      <c r="AP6">
        <v>1010</v>
      </c>
      <c r="AQ6">
        <v>1190</v>
      </c>
    </row>
    <row r="7" spans="1:43" x14ac:dyDescent="0.3">
      <c r="A7">
        <v>44</v>
      </c>
      <c r="B7">
        <v>144</v>
      </c>
      <c r="C7" t="s">
        <v>257</v>
      </c>
      <c r="D7" t="s">
        <v>480</v>
      </c>
      <c r="E7" t="s">
        <v>680</v>
      </c>
      <c r="F7">
        <v>2015</v>
      </c>
      <c r="G7" s="1">
        <v>7.9537037037037033E-4</v>
      </c>
      <c r="H7" s="1">
        <v>7.612268518518518E-4</v>
      </c>
      <c r="I7" s="1">
        <v>1.5565972222222222E-3</v>
      </c>
      <c r="K7">
        <v>120661</v>
      </c>
      <c r="L7" s="2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7.9537037037037033E-4</v>
      </c>
      <c r="M7" s="3">
        <f>IF(Table127[[#This Row],[run 1 times]]="",999.99,IF(Table127[[#This Row],[run 1 times]]=$S$3,0,MAX(0,ROUND(((Table127[[#This Row],[run 1 times]]-$S$3)/$S$3)*$S$6,2))))</f>
        <v>414.03</v>
      </c>
      <c r="N7" s="2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7.612268518518518E-4</v>
      </c>
      <c r="O7" s="3">
        <f>IF(Table127[[#This Row],[run2 times]]="",999.99,IF(Table127[[#This Row],[run2 times]]=$T$3,0,MAX(0,ROUND(((Table127[[#This Row],[run2 times]]-$T$3)/$T$3)*$S$6,2))))</f>
        <v>231.4</v>
      </c>
      <c r="P7" s="2">
        <f>IF(OR(Table127[[#This Row],[run 1 times]]="",Table127[[#This Row],[run2 times]]=""),"",Table127[[#This Row],[run 1 times]]+Table127[[#This Row],[run2 times]])</f>
        <v>1.5565972222222222E-3</v>
      </c>
      <c r="Q7" s="3">
        <f>IF(Table127[[#This Row],[total time]]="",999.99,IF(Table127[[#This Row],[total time]]=$U$3,0,MAX(0,ROUND(((Table127[[#This Row],[total time]]-$U$3)/$U$3)*$S$6,2))))</f>
        <v>316.77999999999997</v>
      </c>
      <c r="W7">
        <v>5</v>
      </c>
      <c r="X7">
        <v>154</v>
      </c>
      <c r="Y7" t="s">
        <v>257</v>
      </c>
      <c r="Z7" t="s">
        <v>547</v>
      </c>
      <c r="AA7" t="s">
        <v>744</v>
      </c>
      <c r="AB7">
        <v>2010</v>
      </c>
      <c r="AC7" s="1" t="s">
        <v>512</v>
      </c>
      <c r="AD7" s="1">
        <v>48.2</v>
      </c>
      <c r="AE7" s="1"/>
      <c r="AG7">
        <v>102725</v>
      </c>
      <c r="AH7" s="2" t="str">
        <f>_xlfn.LET(_xlpm.x,Table122110[[#This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7" s="3">
        <f>IF(Table122110[[#This Row],[run 1 times]]="",999.99,IF(Table122110[[#This Row],[run 1 times]]=$AO$3,0,MAX(0,ROUND(((Table122110[[#This Row],[run 1 times]]-$AO$3)/$AO$3)*$AO$6,2))))</f>
        <v>999.99</v>
      </c>
      <c r="AJ7" s="2">
        <f>_xlfn.LET(_xlpm.x,Table122110[[#This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5.5787037037037036E-4</v>
      </c>
      <c r="AK7" s="3">
        <f>IF(Table122110[[#This Row],[run2 times]]="",999.99,IF(Table122110[[#This Row],[run2 times]]=$AP$3,0,MAX(0,ROUND(((Table122110[[#This Row],[run2 times]]-$AP$3)/$AP$3)*$AO$6,2))))</f>
        <v>185.59</v>
      </c>
      <c r="AL7" s="2" t="str">
        <f>IF(OR(Table122110[[#This Row],[run 1 times]]="",Table122110[[#This Row],[run2 times]]=""),"",Table122110[[#This Row],[run 1 times]]+Table122110[[#This Row],[run2 times]])</f>
        <v/>
      </c>
      <c r="AM7" s="3">
        <f>IF(Table122110[[#This Row],[total time]]="",999.99,IF(Table122110[[#This Row],[total time]]=$AQ$3,0,MAX(0,ROUND(((Table122110[[#This Row],[total time]]-$AQ$3)/$AQ$3)*$AO$6,2))))</f>
        <v>999.99</v>
      </c>
    </row>
    <row r="8" spans="1:43" x14ac:dyDescent="0.3">
      <c r="A8">
        <v>13</v>
      </c>
      <c r="B8">
        <v>113</v>
      </c>
      <c r="C8" t="s">
        <v>257</v>
      </c>
      <c r="D8" t="s">
        <v>480</v>
      </c>
      <c r="E8" t="s">
        <v>682</v>
      </c>
      <c r="F8">
        <v>2014</v>
      </c>
      <c r="G8" s="1">
        <v>7.9305555555555553E-4</v>
      </c>
      <c r="H8" s="1">
        <v>8.0659722222222222E-4</v>
      </c>
      <c r="I8" s="1">
        <v>1.599652777777778E-3</v>
      </c>
      <c r="K8">
        <v>120809</v>
      </c>
      <c r="L8" s="2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7.9305555555555553E-4</v>
      </c>
      <c r="M8" s="3">
        <f>IF(Table127[[#This Row],[run 1 times]]="",999.99,IF(Table127[[#This Row],[run 1 times]]=$S$3,0,MAX(0,ROUND(((Table127[[#This Row],[run 1 times]]-$S$3)/$S$3)*$S$6,2))))</f>
        <v>410.7</v>
      </c>
      <c r="N8" s="2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8.0659722222222222E-4</v>
      </c>
      <c r="O8" s="3">
        <f>IF(Table127[[#This Row],[run2 times]]="",999.99,IF(Table127[[#This Row],[run2 times]]=$T$3,0,MAX(0,ROUND(((Table127[[#This Row],[run2 times]]-$T$3)/$T$3)*$S$6,2))))</f>
        <v>288.7</v>
      </c>
      <c r="P8" s="2">
        <f>IF(OR(Table127[[#This Row],[run 1 times]]="",Table127[[#This Row],[run2 times]]=""),"",Table127[[#This Row],[run 1 times]]+Table127[[#This Row],[run2 times]])</f>
        <v>1.5996527777777777E-3</v>
      </c>
      <c r="Q8" s="3">
        <f>IF(Table127[[#This Row],[total time]]="",999.99,IF(Table127[[#This Row],[total time]]=$U$3,0,MAX(0,ROUND(((Table127[[#This Row],[total time]]-$U$3)/$U$3)*$S$6,2))))</f>
        <v>345.74</v>
      </c>
      <c r="W8">
        <v>6</v>
      </c>
      <c r="X8">
        <v>155</v>
      </c>
      <c r="Y8" t="s">
        <v>223</v>
      </c>
      <c r="Z8" t="s">
        <v>547</v>
      </c>
      <c r="AA8" t="s">
        <v>745</v>
      </c>
      <c r="AB8">
        <v>2011</v>
      </c>
      <c r="AC8" s="1" t="s">
        <v>512</v>
      </c>
      <c r="AD8" s="1" t="s">
        <v>512</v>
      </c>
      <c r="AE8" s="1"/>
      <c r="AG8">
        <v>102458</v>
      </c>
      <c r="AH8" s="2" t="str">
        <f>_xlfn.LET(_xlpm.x,Table122110[[#This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8" s="3">
        <f>IF(Table122110[[#This Row],[run 1 times]]="",999.99,IF(Table122110[[#This Row],[run 1 times]]=$AO$3,0,MAX(0,ROUND(((Table122110[[#This Row],[run 1 times]]-$AO$3)/$AO$3)*$AO$6,2))))</f>
        <v>999.99</v>
      </c>
      <c r="AJ8" s="2" t="str">
        <f>_xlfn.LET(_xlpm.x,Table122110[[#This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8" s="3">
        <f>IF(Table122110[[#This Row],[run2 times]]="",999.99,IF(Table122110[[#This Row],[run2 times]]=$AP$3,0,MAX(0,ROUND(((Table122110[[#This Row],[run2 times]]-$AP$3)/$AP$3)*$AO$6,2))))</f>
        <v>999.99</v>
      </c>
      <c r="AL8" s="2" t="str">
        <f>IF(OR(Table122110[[#This Row],[run 1 times]]="",Table122110[[#This Row],[run2 times]]=""),"",Table122110[[#This Row],[run 1 times]]+Table122110[[#This Row],[run2 times]])</f>
        <v/>
      </c>
      <c r="AM8" s="3">
        <f>IF(Table122110[[#This Row],[total time]]="",999.99,IF(Table122110[[#This Row],[total time]]=$AQ$3,0,MAX(0,ROUND(((Table122110[[#This Row],[total time]]-$AQ$3)/$AQ$3)*$AO$6,2))))</f>
        <v>999.99</v>
      </c>
    </row>
    <row r="9" spans="1:43" x14ac:dyDescent="0.3">
      <c r="A9">
        <v>28</v>
      </c>
      <c r="B9">
        <v>128</v>
      </c>
      <c r="C9" t="s">
        <v>479</v>
      </c>
      <c r="D9" t="s">
        <v>480</v>
      </c>
      <c r="E9" t="s">
        <v>686</v>
      </c>
      <c r="F9">
        <v>2015</v>
      </c>
      <c r="G9" s="1">
        <v>8.9004629629629633E-4</v>
      </c>
      <c r="H9" s="1">
        <v>9.2395833333333327E-4</v>
      </c>
      <c r="I9" s="1">
        <v>1.8140046296296296E-3</v>
      </c>
      <c r="K9">
        <v>116326</v>
      </c>
      <c r="L9" s="2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8.9004629629629633E-4</v>
      </c>
      <c r="M9" s="3">
        <f>IF(Table127[[#This Row],[run 1 times]]="",999.99,IF(Table127[[#This Row],[run 1 times]]=$S$3,0,MAX(0,ROUND(((Table127[[#This Row],[run 1 times]]-$S$3)/$S$3)*$S$6,2))))</f>
        <v>550.21</v>
      </c>
      <c r="N9" s="2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9.2395833333333327E-4</v>
      </c>
      <c r="O9" s="3">
        <f>IF(Table127[[#This Row],[run2 times]]="",999.99,IF(Table127[[#This Row],[run2 times]]=$T$3,0,MAX(0,ROUND(((Table127[[#This Row],[run2 times]]-$T$3)/$T$3)*$S$6,2))))</f>
        <v>436.92</v>
      </c>
      <c r="P9" s="2">
        <f>IF(OR(Table127[[#This Row],[run 1 times]]="",Table127[[#This Row],[run2 times]]=""),"",Table127[[#This Row],[run 1 times]]+Table127[[#This Row],[run2 times]])</f>
        <v>1.8140046296296296E-3</v>
      </c>
      <c r="Q9" s="3">
        <f>IF(Table127[[#This Row],[total time]]="",999.99,IF(Table127[[#This Row],[total time]]=$U$3,0,MAX(0,ROUND(((Table127[[#This Row],[total time]]-$U$3)/$U$3)*$S$6,2))))</f>
        <v>489.88</v>
      </c>
      <c r="W9">
        <v>7</v>
      </c>
      <c r="X9">
        <v>156</v>
      </c>
      <c r="Y9" t="s">
        <v>223</v>
      </c>
      <c r="Z9" t="s">
        <v>547</v>
      </c>
      <c r="AA9" t="s">
        <v>746</v>
      </c>
      <c r="AB9">
        <v>2011</v>
      </c>
      <c r="AC9" s="1">
        <v>44.88</v>
      </c>
      <c r="AD9" s="1">
        <v>46.33</v>
      </c>
      <c r="AE9" s="1">
        <v>1.0556712962962963E-3</v>
      </c>
      <c r="AG9">
        <v>93462</v>
      </c>
      <c r="AH9" s="2">
        <f>_xlfn.LET(_xlpm.x,Table122110[[#This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5.1944444444444445E-4</v>
      </c>
      <c r="AI9" s="3">
        <f>IF(Table122110[[#This Row],[run 1 times]]="",999.99,IF(Table122110[[#This Row],[run 1 times]]=$AO$3,0,MAX(0,ROUND(((Table122110[[#This Row],[run 1 times]]-$AO$3)/$AO$3)*$AO$6,2))))</f>
        <v>79.75</v>
      </c>
      <c r="AJ9" s="2">
        <f>_xlfn.LET(_xlpm.x,Table122110[[#This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5.3622685185185186E-4</v>
      </c>
      <c r="AK9" s="3">
        <f>IF(Table122110[[#This Row],[run2 times]]="",999.99,IF(Table122110[[#This Row],[run2 times]]=$AP$3,0,MAX(0,ROUND(((Table122110[[#This Row],[run2 times]]-$AP$3)/$AP$3)*$AO$6,2))))</f>
        <v>150.07</v>
      </c>
      <c r="AL9" s="2">
        <f>IF(OR(Table122110[[#This Row],[run 1 times]]="",Table122110[[#This Row],[run2 times]]=""),"",Table122110[[#This Row],[run 1 times]]+Table122110[[#This Row],[run2 times]])</f>
        <v>1.0556712962962963E-3</v>
      </c>
      <c r="AM9" s="3">
        <f>IF(Table122110[[#This Row],[total time]]="",999.99,IF(Table122110[[#This Row],[total time]]=$AQ$3,0,MAX(0,ROUND(((Table122110[[#This Row],[total time]]-$AQ$3)/$AQ$3)*$AO$6,2))))</f>
        <v>103.23</v>
      </c>
    </row>
    <row r="10" spans="1:43" x14ac:dyDescent="0.3">
      <c r="A10">
        <v>45</v>
      </c>
      <c r="B10">
        <v>145</v>
      </c>
      <c r="C10" t="s">
        <v>373</v>
      </c>
      <c r="D10" t="s">
        <v>480</v>
      </c>
      <c r="E10" t="s">
        <v>687</v>
      </c>
      <c r="F10">
        <v>2015</v>
      </c>
      <c r="G10" s="1">
        <v>1.0096064814814816E-3</v>
      </c>
      <c r="H10" s="1">
        <v>1.0150462962962962E-3</v>
      </c>
      <c r="I10" s="1">
        <v>2.024652777777778E-3</v>
      </c>
      <c r="K10">
        <v>119094</v>
      </c>
      <c r="L10" s="2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1.0096064814814816E-3</v>
      </c>
      <c r="M10" s="3">
        <f>IF(Table127[[#This Row],[run 1 times]]="",999.99,IF(Table127[[#This Row],[run 1 times]]=$S$3,0,MAX(0,ROUND(((Table127[[#This Row],[run 1 times]]-$S$3)/$S$3)*$S$6,2))))</f>
        <v>722.18</v>
      </c>
      <c r="N10" s="2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1.0150462962962962E-3</v>
      </c>
      <c r="O10" s="3">
        <f>IF(Table127[[#This Row],[run2 times]]="",999.99,IF(Table127[[#This Row],[run2 times]]=$T$3,0,MAX(0,ROUND(((Table127[[#This Row],[run2 times]]-$T$3)/$T$3)*$S$6,2))))</f>
        <v>551.96</v>
      </c>
      <c r="P10" s="2">
        <f>IF(OR(Table127[[#This Row],[run 1 times]]="",Table127[[#This Row],[run2 times]]=""),"",Table127[[#This Row],[run 1 times]]+Table127[[#This Row],[run2 times]])</f>
        <v>2.024652777777778E-3</v>
      </c>
      <c r="Q10" s="3">
        <f>IF(Table127[[#This Row],[total time]]="",999.99,IF(Table127[[#This Row],[total time]]=$U$3,0,MAX(0,ROUND(((Table127[[#This Row],[total time]]-$U$3)/$U$3)*$S$6,2))))</f>
        <v>631.54</v>
      </c>
      <c r="W10">
        <v>8</v>
      </c>
      <c r="X10">
        <v>157</v>
      </c>
      <c r="Y10" t="s">
        <v>487</v>
      </c>
      <c r="Z10" t="s">
        <v>547</v>
      </c>
      <c r="AA10" t="s">
        <v>747</v>
      </c>
      <c r="AB10">
        <v>2011</v>
      </c>
      <c r="AC10" s="1">
        <v>56.13</v>
      </c>
      <c r="AD10" s="1">
        <v>55.76</v>
      </c>
      <c r="AE10" s="1">
        <v>1.2950231481481482E-3</v>
      </c>
      <c r="AG10">
        <v>88900</v>
      </c>
      <c r="AH10" s="2">
        <f>_xlfn.LET(_xlpm.x,Table122110[[#This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6.4965277777777786E-4</v>
      </c>
      <c r="AI10" s="3">
        <f>IF(Table122110[[#This Row],[run 1 times]]="",999.99,IF(Table122110[[#This Row],[run 1 times]]=$AO$3,0,MAX(0,ROUND(((Table122110[[#This Row],[run 1 times]]-$AO$3)/$AO$3)*$AO$6,2))))</f>
        <v>282.73</v>
      </c>
      <c r="AJ10" s="2">
        <f>_xlfn.LET(_xlpm.x,Table122110[[#This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6.4537037037037037E-4</v>
      </c>
      <c r="AK10" s="3">
        <f>IF(Table122110[[#This Row],[run2 times]]="",999.99,IF(Table122110[[#This Row],[run2 times]]=$AP$3,0,MAX(0,ROUND(((Table122110[[#This Row],[run2 times]]-$AP$3)/$AP$3)*$AO$6,2))))</f>
        <v>329.19</v>
      </c>
      <c r="AL10" s="2">
        <f>IF(OR(Table122110[[#This Row],[run 1 times]]="",Table122110[[#This Row],[run2 times]]=""),"",Table122110[[#This Row],[run 1 times]]+Table122110[[#This Row],[run2 times]])</f>
        <v>1.2950231481481482E-3</v>
      </c>
      <c r="AM10" s="3">
        <f>IF(Table122110[[#This Row],[total time]]="",999.99,IF(Table122110[[#This Row],[total time]]=$AQ$3,0,MAX(0,ROUND(((Table122110[[#This Row],[total time]]-$AQ$3)/$AQ$3)*$AO$6,2))))</f>
        <v>292.14999999999998</v>
      </c>
    </row>
    <row r="11" spans="1:43" x14ac:dyDescent="0.3">
      <c r="A11">
        <v>4</v>
      </c>
      <c r="B11">
        <v>104</v>
      </c>
      <c r="C11" t="s">
        <v>257</v>
      </c>
      <c r="D11" t="s">
        <v>480</v>
      </c>
      <c r="E11" t="s">
        <v>688</v>
      </c>
      <c r="F11">
        <v>2015</v>
      </c>
      <c r="G11" s="1">
        <v>9.3287037037037026E-4</v>
      </c>
      <c r="H11" s="1">
        <v>1.0767361111111112E-3</v>
      </c>
      <c r="I11" s="1">
        <v>2.0096064814814816E-3</v>
      </c>
      <c r="K11">
        <v>124079</v>
      </c>
      <c r="L11" s="2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9.3287037037037026E-4</v>
      </c>
      <c r="M11" s="3">
        <f>IF(Table127[[#This Row],[run 1 times]]="",999.99,IF(Table127[[#This Row],[run 1 times]]=$S$3,0,MAX(0,ROUND(((Table127[[#This Row],[run 1 times]]-$S$3)/$S$3)*$S$6,2))))</f>
        <v>611.79999999999995</v>
      </c>
      <c r="N11" s="2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1.0767361111111112E-3</v>
      </c>
      <c r="O11" s="3">
        <f>IF(Table127[[#This Row],[run2 times]]="",999.99,IF(Table127[[#This Row],[run2 times]]=$T$3,0,MAX(0,ROUND(((Table127[[#This Row],[run2 times]]-$T$3)/$T$3)*$S$6,2))))</f>
        <v>629.87</v>
      </c>
      <c r="P11" s="2">
        <f>IF(OR(Table127[[#This Row],[run 1 times]]="",Table127[[#This Row],[run2 times]]=""),"",Table127[[#This Row],[run 1 times]]+Table127[[#This Row],[run2 times]])</f>
        <v>2.0096064814814816E-3</v>
      </c>
      <c r="Q11" s="3">
        <f>IF(Table127[[#This Row],[total time]]="",999.99,IF(Table127[[#This Row],[total time]]=$U$3,0,MAX(0,ROUND(((Table127[[#This Row],[total time]]-$U$3)/$U$3)*$S$6,2))))</f>
        <v>621.41999999999996</v>
      </c>
      <c r="W11">
        <v>9</v>
      </c>
      <c r="X11">
        <v>158</v>
      </c>
      <c r="Y11" t="s">
        <v>373</v>
      </c>
      <c r="Z11" t="s">
        <v>552</v>
      </c>
      <c r="AA11" t="s">
        <v>748</v>
      </c>
      <c r="AB11">
        <v>2008</v>
      </c>
      <c r="AC11" s="1">
        <v>56.68</v>
      </c>
      <c r="AD11" s="1">
        <v>54.63</v>
      </c>
      <c r="AE11" s="1">
        <v>1.2883101851851853E-3</v>
      </c>
      <c r="AG11">
        <v>127962</v>
      </c>
      <c r="AH11" s="2">
        <f>_xlfn.LET(_xlpm.x,Table122110[[#This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6.5601851851851856E-4</v>
      </c>
      <c r="AI11" s="3">
        <f>IF(Table122110[[#This Row],[run 1 times]]="",999.99,IF(Table122110[[#This Row],[run 1 times]]=$AO$3,0,MAX(0,ROUND(((Table122110[[#This Row],[run 1 times]]-$AO$3)/$AO$3)*$AO$6,2))))</f>
        <v>292.64999999999998</v>
      </c>
      <c r="AJ11" s="2">
        <f>_xlfn.LET(_xlpm.x,Table122110[[#This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6.3229166666666674E-4</v>
      </c>
      <c r="AK11" s="3">
        <f>IF(Table122110[[#This Row],[run2 times]]="",999.99,IF(Table122110[[#This Row],[run2 times]]=$AP$3,0,MAX(0,ROUND(((Table122110[[#This Row],[run2 times]]-$AP$3)/$AP$3)*$AO$6,2))))</f>
        <v>307.73</v>
      </c>
      <c r="AL11" s="2">
        <f>IF(OR(Table122110[[#This Row],[run 1 times]]="",Table122110[[#This Row],[run2 times]]=""),"",Table122110[[#This Row],[run 1 times]]+Table122110[[#This Row],[run2 times]])</f>
        <v>1.2883101851851853E-3</v>
      </c>
      <c r="AM11" s="3">
        <f>IF(Table122110[[#This Row],[total time]]="",999.99,IF(Table122110[[#This Row],[total time]]=$AQ$3,0,MAX(0,ROUND(((Table122110[[#This Row],[total time]]-$AQ$3)/$AQ$3)*$AO$6,2))))</f>
        <v>286.85000000000002</v>
      </c>
    </row>
    <row r="12" spans="1:43" x14ac:dyDescent="0.3">
      <c r="A12">
        <v>27</v>
      </c>
      <c r="B12">
        <v>127</v>
      </c>
      <c r="C12" t="s">
        <v>257</v>
      </c>
      <c r="D12" t="s">
        <v>480</v>
      </c>
      <c r="E12" t="s">
        <v>689</v>
      </c>
      <c r="F12">
        <v>2015</v>
      </c>
      <c r="G12" s="1">
        <v>1.0252314814814816E-3</v>
      </c>
      <c r="H12" s="1">
        <v>1.0920138888888889E-3</v>
      </c>
      <c r="I12" s="1">
        <v>2.1172453703703705E-3</v>
      </c>
      <c r="K12">
        <v>124075</v>
      </c>
      <c r="L12" s="2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1.0252314814814816E-3</v>
      </c>
      <c r="M12" s="3">
        <f>IF(Table127[[#This Row],[run 1 times]]="",999.99,IF(Table127[[#This Row],[run 1 times]]=$S$3,0,MAX(0,ROUND(((Table127[[#This Row],[run 1 times]]-$S$3)/$S$3)*$S$6,2))))</f>
        <v>744.65</v>
      </c>
      <c r="N12" s="2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1.0920138888888889E-3</v>
      </c>
      <c r="O12" s="3">
        <f>IF(Table127[[#This Row],[run2 times]]="",999.99,IF(Table127[[#This Row],[run2 times]]=$T$3,0,MAX(0,ROUND(((Table127[[#This Row],[run2 times]]-$T$3)/$T$3)*$S$6,2))))</f>
        <v>649.16</v>
      </c>
      <c r="P12" s="2">
        <f>IF(OR(Table127[[#This Row],[run 1 times]]="",Table127[[#This Row],[run2 times]]=""),"",Table127[[#This Row],[run 1 times]]+Table127[[#This Row],[run2 times]])</f>
        <v>2.1172453703703705E-3</v>
      </c>
      <c r="Q12" s="3">
        <f>IF(Table127[[#This Row],[total time]]="",999.99,IF(Table127[[#This Row],[total time]]=$U$3,0,MAX(0,ROUND(((Table127[[#This Row],[total time]]-$U$3)/$U$3)*$S$6,2))))</f>
        <v>693.81</v>
      </c>
      <c r="W12">
        <v>10</v>
      </c>
      <c r="X12">
        <v>159</v>
      </c>
      <c r="Y12" t="s">
        <v>24</v>
      </c>
      <c r="Z12" t="s">
        <v>552</v>
      </c>
      <c r="AA12" t="s">
        <v>749</v>
      </c>
      <c r="AB12">
        <v>2009</v>
      </c>
      <c r="AC12" s="1">
        <v>47.4</v>
      </c>
      <c r="AD12" s="1">
        <v>47.05</v>
      </c>
      <c r="AE12" s="1">
        <v>1.0931712962962963E-3</v>
      </c>
      <c r="AG12">
        <v>104657</v>
      </c>
      <c r="AH12" s="2">
        <f>_xlfn.LET(_xlpm.x,Table122110[[#This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5.4861111111111104E-4</v>
      </c>
      <c r="AI12" s="3">
        <f>IF(Table122110[[#This Row],[run 1 times]]="",999.99,IF(Table122110[[#This Row],[run 1 times]]=$AO$3,0,MAX(0,ROUND(((Table122110[[#This Row],[run 1 times]]-$AO$3)/$AO$3)*$AO$6,2))))</f>
        <v>125.22</v>
      </c>
      <c r="AJ12" s="2">
        <f>_xlfn.LET(_xlpm.x,Table122110[[#This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5.4456018518518514E-4</v>
      </c>
      <c r="AK12" s="3">
        <f>IF(Table122110[[#This Row],[run2 times]]="",999.99,IF(Table122110[[#This Row],[run2 times]]=$AP$3,0,MAX(0,ROUND(((Table122110[[#This Row],[run2 times]]-$AP$3)/$AP$3)*$AO$6,2))))</f>
        <v>163.74</v>
      </c>
      <c r="AL12" s="2">
        <f>IF(OR(Table122110[[#This Row],[run 1 times]]="",Table122110[[#This Row],[run2 times]]=""),"",Table122110[[#This Row],[run 1 times]]+Table122110[[#This Row],[run2 times]])</f>
        <v>1.0931712962962961E-3</v>
      </c>
      <c r="AM12" s="3">
        <f>IF(Table122110[[#This Row],[total time]]="",999.99,IF(Table122110[[#This Row],[total time]]=$AQ$3,0,MAX(0,ROUND(((Table122110[[#This Row],[total time]]-$AQ$3)/$AQ$3)*$AO$6,2))))</f>
        <v>132.83000000000001</v>
      </c>
    </row>
    <row r="13" spans="1:43" x14ac:dyDescent="0.3">
      <c r="A13">
        <v>5</v>
      </c>
      <c r="B13">
        <v>105</v>
      </c>
      <c r="C13" t="s">
        <v>24</v>
      </c>
      <c r="D13" t="s">
        <v>480</v>
      </c>
      <c r="E13" t="s">
        <v>690</v>
      </c>
      <c r="F13">
        <v>2015</v>
      </c>
      <c r="G13" s="1">
        <v>1.0320601851851851E-3</v>
      </c>
      <c r="H13" s="1">
        <v>1.2072916666666666E-3</v>
      </c>
      <c r="I13" s="1">
        <v>2.2393518518518517E-3</v>
      </c>
      <c r="K13">
        <v>109933</v>
      </c>
      <c r="L13" s="2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1.0320601851851851E-3</v>
      </c>
      <c r="M13" s="3">
        <f>IF(Table127[[#This Row],[run 1 times]]="",999.99,IF(Table127[[#This Row],[run 1 times]]=$S$3,0,MAX(0,ROUND(((Table127[[#This Row],[run 1 times]]-$S$3)/$S$3)*$S$6,2))))</f>
        <v>754.47</v>
      </c>
      <c r="N13" s="2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1.2072916666666666E-3</v>
      </c>
      <c r="O13" s="3">
        <f>IF(Table127[[#This Row],[run2 times]]="",999.99,IF(Table127[[#This Row],[run2 times]]=$T$3,0,MAX(0,ROUND(((Table127[[#This Row],[run2 times]]-$T$3)/$T$3)*$S$6,2))))</f>
        <v>794.76</v>
      </c>
      <c r="P13" s="2">
        <f>IF(OR(Table127[[#This Row],[run 1 times]]="",Table127[[#This Row],[run2 times]]=""),"",Table127[[#This Row],[run 1 times]]+Table127[[#This Row],[run2 times]])</f>
        <v>2.2393518518518517E-3</v>
      </c>
      <c r="Q13" s="3">
        <f>IF(Table127[[#This Row],[total time]]="",999.99,IF(Table127[[#This Row],[total time]]=$U$3,0,MAX(0,ROUND(((Table127[[#This Row],[total time]]-$U$3)/$U$3)*$S$6,2))))</f>
        <v>775.92</v>
      </c>
      <c r="W13">
        <v>11</v>
      </c>
      <c r="X13">
        <v>160</v>
      </c>
      <c r="Y13" t="s">
        <v>479</v>
      </c>
      <c r="Z13" t="s">
        <v>547</v>
      </c>
      <c r="AA13" t="s">
        <v>750</v>
      </c>
      <c r="AB13">
        <v>2011</v>
      </c>
      <c r="AC13" s="1" t="s">
        <v>518</v>
      </c>
      <c r="AD13" s="1">
        <v>41.75</v>
      </c>
      <c r="AE13" s="1"/>
      <c r="AG13">
        <v>101428</v>
      </c>
      <c r="AH13" s="2" t="str">
        <f>_xlfn.LET(_xlpm.x,Table122110[[#This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13" s="3">
        <f>IF(Table122110[[#This Row],[run 1 times]]="",999.99,IF(Table122110[[#This Row],[run 1 times]]=$AO$3,0,MAX(0,ROUND(((Table122110[[#This Row],[run 1 times]]-$AO$3)/$AO$3)*$AO$6,2))))</f>
        <v>999.99</v>
      </c>
      <c r="AJ13" s="2">
        <f>_xlfn.LET(_xlpm.x,Table122110[[#This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4.832175925925926E-4</v>
      </c>
      <c r="AK13" s="3">
        <f>IF(Table122110[[#This Row],[run2 times]]="",999.99,IF(Table122110[[#This Row],[run2 times]]=$AP$3,0,MAX(0,ROUND(((Table122110[[#This Row],[run2 times]]-$AP$3)/$AP$3)*$AO$6,2))))</f>
        <v>63.07</v>
      </c>
      <c r="AL13" s="2" t="str">
        <f>IF(OR(Table122110[[#This Row],[run 1 times]]="",Table122110[[#This Row],[run2 times]]=""),"",Table122110[[#This Row],[run 1 times]]+Table122110[[#This Row],[run2 times]])</f>
        <v/>
      </c>
      <c r="AM13" s="3">
        <f>IF(Table122110[[#This Row],[total time]]="",999.99,IF(Table122110[[#This Row],[total time]]=$AQ$3,0,MAX(0,ROUND(((Table122110[[#This Row],[total time]]-$AQ$3)/$AQ$3)*$AO$6,2))))</f>
        <v>999.99</v>
      </c>
    </row>
    <row r="14" spans="1:43" x14ac:dyDescent="0.3">
      <c r="A14">
        <v>42</v>
      </c>
      <c r="B14">
        <v>142</v>
      </c>
      <c r="C14" t="s">
        <v>479</v>
      </c>
      <c r="D14" t="s">
        <v>480</v>
      </c>
      <c r="E14" t="s">
        <v>692</v>
      </c>
      <c r="F14">
        <v>2015</v>
      </c>
      <c r="G14" s="1">
        <v>7.6643518518518521E-4</v>
      </c>
      <c r="H14" s="1" t="s">
        <v>512</v>
      </c>
      <c r="I14" s="1"/>
      <c r="K14">
        <v>110054</v>
      </c>
      <c r="L14" s="2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7.6643518518518521E-4</v>
      </c>
      <c r="M14" s="3">
        <f>IF(Table127[[#This Row],[run 1 times]]="",999.99,IF(Table127[[#This Row],[run 1 times]]=$S$3,0,MAX(0,ROUND(((Table127[[#This Row],[run 1 times]]-$S$3)/$S$3)*$S$6,2))))</f>
        <v>372.41</v>
      </c>
      <c r="N14" s="2" t="str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14" s="3">
        <f>IF(Table127[[#This Row],[run2 times]]="",999.99,IF(Table127[[#This Row],[run2 times]]=$T$3,0,MAX(0,ROUND(((Table127[[#This Row],[run2 times]]-$T$3)/$T$3)*$S$6,2))))</f>
        <v>999.99</v>
      </c>
      <c r="P14" s="2" t="str">
        <f>IF(OR(Table127[[#This Row],[run 1 times]]="",Table127[[#This Row],[run2 times]]=""),"",Table127[[#This Row],[run 1 times]]+Table127[[#This Row],[run2 times]])</f>
        <v/>
      </c>
      <c r="Q14" s="3">
        <f>IF(Table127[[#This Row],[total time]]="",999.99,IF(Table127[[#This Row],[total time]]=$U$3,0,MAX(0,ROUND(((Table127[[#This Row],[total time]]-$U$3)/$U$3)*$S$6,2))))</f>
        <v>999.99</v>
      </c>
      <c r="W14">
        <v>12</v>
      </c>
      <c r="X14">
        <v>161</v>
      </c>
      <c r="Y14" t="s">
        <v>24</v>
      </c>
      <c r="Z14" t="s">
        <v>547</v>
      </c>
      <c r="AA14" t="s">
        <v>751</v>
      </c>
      <c r="AB14">
        <v>2010</v>
      </c>
      <c r="AC14" s="1" t="s">
        <v>518</v>
      </c>
      <c r="AD14" s="1">
        <v>53.2</v>
      </c>
      <c r="AE14" s="1"/>
      <c r="AG14">
        <v>88776</v>
      </c>
      <c r="AH14" s="2" t="str">
        <f>_xlfn.LET(_xlpm.x,Table122110[[#This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14" s="3">
        <f>IF(Table122110[[#This Row],[run 1 times]]="",999.99,IF(Table122110[[#This Row],[run 1 times]]=$AO$3,0,MAX(0,ROUND(((Table122110[[#This Row],[run 1 times]]-$AO$3)/$AO$3)*$AO$6,2))))</f>
        <v>999.99</v>
      </c>
      <c r="AJ14" s="2">
        <f>_xlfn.LET(_xlpm.x,Table122110[[#This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6.1574074074074081E-4</v>
      </c>
      <c r="AK14" s="3">
        <f>IF(Table122110[[#This Row],[run2 times]]="",999.99,IF(Table122110[[#This Row],[run2 times]]=$AP$3,0,MAX(0,ROUND(((Table122110[[#This Row],[run2 times]]-$AP$3)/$AP$3)*$AO$6,2))))</f>
        <v>280.56</v>
      </c>
      <c r="AL14" s="2" t="str">
        <f>IF(OR(Table122110[[#This Row],[run 1 times]]="",Table122110[[#This Row],[run2 times]]=""),"",Table122110[[#This Row],[run 1 times]]+Table122110[[#This Row],[run2 times]])</f>
        <v/>
      </c>
      <c r="AM14" s="3">
        <f>IF(Table122110[[#This Row],[total time]]="",999.99,IF(Table122110[[#This Row],[total time]]=$AQ$3,0,MAX(0,ROUND(((Table122110[[#This Row],[total time]]-$AQ$3)/$AQ$3)*$AO$6,2))))</f>
        <v>999.99</v>
      </c>
    </row>
    <row r="15" spans="1:43" x14ac:dyDescent="0.3">
      <c r="A15">
        <v>40</v>
      </c>
      <c r="B15">
        <v>140</v>
      </c>
      <c r="C15" t="s">
        <v>479</v>
      </c>
      <c r="D15" t="s">
        <v>480</v>
      </c>
      <c r="E15" t="s">
        <v>693</v>
      </c>
      <c r="F15">
        <v>2015</v>
      </c>
      <c r="G15" s="1">
        <v>7.1134259259259263E-4</v>
      </c>
      <c r="H15" s="1" t="s">
        <v>512</v>
      </c>
      <c r="I15" s="1"/>
      <c r="K15">
        <v>108183</v>
      </c>
      <c r="L15" s="2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7.1134259259259263E-4</v>
      </c>
      <c r="M15" s="3">
        <f>IF(Table127[[#This Row],[run 1 times]]="",999.99,IF(Table127[[#This Row],[run 1 times]]=$S$3,0,MAX(0,ROUND(((Table127[[#This Row],[run 1 times]]-$S$3)/$S$3)*$S$6,2))))</f>
        <v>293.17</v>
      </c>
      <c r="N15" s="2" t="str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15" s="3">
        <f>IF(Table127[[#This Row],[run2 times]]="",999.99,IF(Table127[[#This Row],[run2 times]]=$T$3,0,MAX(0,ROUND(((Table127[[#This Row],[run2 times]]-$T$3)/$T$3)*$S$6,2))))</f>
        <v>999.99</v>
      </c>
      <c r="P15" s="2" t="str">
        <f>IF(OR(Table127[[#This Row],[run 1 times]]="",Table127[[#This Row],[run2 times]]=""),"",Table127[[#This Row],[run 1 times]]+Table127[[#This Row],[run2 times]])</f>
        <v/>
      </c>
      <c r="Q15" s="3">
        <f>IF(Table127[[#This Row],[total time]]="",999.99,IF(Table127[[#This Row],[total time]]=$U$3,0,MAX(0,ROUND(((Table127[[#This Row],[total time]]-$U$3)/$U$3)*$S$6,2))))</f>
        <v>999.99</v>
      </c>
      <c r="W15">
        <v>13</v>
      </c>
      <c r="X15">
        <v>162</v>
      </c>
      <c r="Y15" t="s">
        <v>479</v>
      </c>
      <c r="Z15" t="s">
        <v>552</v>
      </c>
      <c r="AA15" t="s">
        <v>752</v>
      </c>
      <c r="AB15">
        <v>2009</v>
      </c>
      <c r="AC15" s="1" t="s">
        <v>512</v>
      </c>
      <c r="AD15" s="1">
        <v>45.08</v>
      </c>
      <c r="AE15" s="1"/>
      <c r="AG15">
        <v>110039</v>
      </c>
      <c r="AH15" s="2" t="str">
        <f>_xlfn.LET(_xlpm.x,Table122110[[#This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15" s="3">
        <f>IF(Table122110[[#This Row],[run 1 times]]="",999.99,IF(Table122110[[#This Row],[run 1 times]]=$AO$3,0,MAX(0,ROUND(((Table122110[[#This Row],[run 1 times]]-$AO$3)/$AO$3)*$AO$6,2))))</f>
        <v>999.99</v>
      </c>
      <c r="AJ15" s="2">
        <f>_xlfn.LET(_xlpm.x,Table122110[[#This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5.2175925925925925E-4</v>
      </c>
      <c r="AK15" s="3">
        <f>IF(Table122110[[#This Row],[run2 times]]="",999.99,IF(Table122110[[#This Row],[run2 times]]=$AP$3,0,MAX(0,ROUND(((Table122110[[#This Row],[run2 times]]-$AP$3)/$AP$3)*$AO$6,2))))</f>
        <v>126.32</v>
      </c>
      <c r="AL15" s="2" t="str">
        <f>IF(OR(Table122110[[#This Row],[run 1 times]]="",Table122110[[#This Row],[run2 times]]=""),"",Table122110[[#This Row],[run 1 times]]+Table122110[[#This Row],[run2 times]])</f>
        <v/>
      </c>
      <c r="AM15" s="3">
        <f>IF(Table122110[[#This Row],[total time]]="",999.99,IF(Table122110[[#This Row],[total time]]=$AQ$3,0,MAX(0,ROUND(((Table122110[[#This Row],[total time]]-$AQ$3)/$AQ$3)*$AO$6,2))))</f>
        <v>999.99</v>
      </c>
    </row>
    <row r="16" spans="1:43" x14ac:dyDescent="0.3">
      <c r="A16">
        <v>38</v>
      </c>
      <c r="B16">
        <v>138</v>
      </c>
      <c r="C16" t="s">
        <v>373</v>
      </c>
      <c r="D16" t="s">
        <v>480</v>
      </c>
      <c r="E16" t="s">
        <v>694</v>
      </c>
      <c r="F16">
        <v>2014</v>
      </c>
      <c r="G16" s="1">
        <v>7.8877314814814825E-4</v>
      </c>
      <c r="H16" s="1" t="s">
        <v>512</v>
      </c>
      <c r="I16" s="1"/>
      <c r="K16">
        <v>112394</v>
      </c>
      <c r="L16" s="2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7.8877314814814825E-4</v>
      </c>
      <c r="M16" s="3">
        <f>IF(Table127[[#This Row],[run 1 times]]="",999.99,IF(Table127[[#This Row],[run 1 times]]=$S$3,0,MAX(0,ROUND(((Table127[[#This Row],[run 1 times]]-$S$3)/$S$3)*$S$6,2))))</f>
        <v>404.54</v>
      </c>
      <c r="N16" s="2" t="str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16" s="3">
        <f>IF(Table127[[#This Row],[run2 times]]="",999.99,IF(Table127[[#This Row],[run2 times]]=$T$3,0,MAX(0,ROUND(((Table127[[#This Row],[run2 times]]-$T$3)/$T$3)*$S$6,2))))</f>
        <v>999.99</v>
      </c>
      <c r="P16" s="2" t="str">
        <f>IF(OR(Table127[[#This Row],[run 1 times]]="",Table127[[#This Row],[run2 times]]=""),"",Table127[[#This Row],[run 1 times]]+Table127[[#This Row],[run2 times]])</f>
        <v/>
      </c>
      <c r="Q16" s="3">
        <f>IF(Table127[[#This Row],[total time]]="",999.99,IF(Table127[[#This Row],[total time]]=$U$3,0,MAX(0,ROUND(((Table127[[#This Row],[total time]]-$U$3)/$U$3)*$S$6,2))))</f>
        <v>999.99</v>
      </c>
      <c r="W16">
        <v>14</v>
      </c>
      <c r="X16">
        <v>163</v>
      </c>
      <c r="Y16" t="s">
        <v>373</v>
      </c>
      <c r="Z16" t="s">
        <v>547</v>
      </c>
      <c r="AA16" t="s">
        <v>753</v>
      </c>
      <c r="AB16">
        <v>2011</v>
      </c>
      <c r="AC16" s="1" t="s">
        <v>512</v>
      </c>
      <c r="AD16" s="1">
        <v>50</v>
      </c>
      <c r="AE16" s="1"/>
      <c r="AG16">
        <v>112387</v>
      </c>
      <c r="AH16" s="2" t="str">
        <f>_xlfn.LET(_xlpm.x,Table122110[[#This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16" s="3">
        <f>IF(Table122110[[#This Row],[run 1 times]]="",999.99,IF(Table122110[[#This Row],[run 1 times]]=$AO$3,0,MAX(0,ROUND(((Table122110[[#This Row],[run 1 times]]-$AO$3)/$AO$3)*$AO$6,2))))</f>
        <v>999.99</v>
      </c>
      <c r="AJ16" s="2">
        <f>_xlfn.LET(_xlpm.x,Table122110[[#This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5.7870370370370367E-4</v>
      </c>
      <c r="AK16" s="3">
        <f>IF(Table122110[[#This Row],[run2 times]]="",999.99,IF(Table122110[[#This Row],[run2 times]]=$AP$3,0,MAX(0,ROUND(((Table122110[[#This Row],[run2 times]]-$AP$3)/$AP$3)*$AO$6,2))))</f>
        <v>219.78</v>
      </c>
      <c r="AL16" s="2" t="str">
        <f>IF(OR(Table122110[[#This Row],[run 1 times]]="",Table122110[[#This Row],[run2 times]]=""),"",Table122110[[#This Row],[run 1 times]]+Table122110[[#This Row],[run2 times]])</f>
        <v/>
      </c>
      <c r="AM16" s="3">
        <f>IF(Table122110[[#This Row],[total time]]="",999.99,IF(Table122110[[#This Row],[total time]]=$AQ$3,0,MAX(0,ROUND(((Table122110[[#This Row],[total time]]-$AQ$3)/$AQ$3)*$AO$6,2))))</f>
        <v>999.99</v>
      </c>
    </row>
    <row r="17" spans="1:39" x14ac:dyDescent="0.3">
      <c r="A17">
        <v>37</v>
      </c>
      <c r="B17">
        <v>137</v>
      </c>
      <c r="C17" t="s">
        <v>487</v>
      </c>
      <c r="D17" t="s">
        <v>480</v>
      </c>
      <c r="E17" t="s">
        <v>695</v>
      </c>
      <c r="F17">
        <v>2014</v>
      </c>
      <c r="G17" s="1" t="s">
        <v>512</v>
      </c>
      <c r="H17" s="1" t="s">
        <v>512</v>
      </c>
      <c r="I17" s="1"/>
      <c r="K17">
        <v>125969</v>
      </c>
      <c r="L17" s="2" t="str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17" s="3">
        <f>IF(Table127[[#This Row],[run 1 times]]="",999.99,IF(Table127[[#This Row],[run 1 times]]=$S$3,0,MAX(0,ROUND(((Table127[[#This Row],[run 1 times]]-$S$3)/$S$3)*$S$6,2))))</f>
        <v>999.99</v>
      </c>
      <c r="N17" s="2" t="str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17" s="3">
        <f>IF(Table127[[#This Row],[run2 times]]="",999.99,IF(Table127[[#This Row],[run2 times]]=$T$3,0,MAX(0,ROUND(((Table127[[#This Row],[run2 times]]-$T$3)/$T$3)*$S$6,2))))</f>
        <v>999.99</v>
      </c>
      <c r="P17" s="2" t="str">
        <f>IF(OR(Table127[[#This Row],[run 1 times]]="",Table127[[#This Row],[run2 times]]=""),"",Table127[[#This Row],[run 1 times]]+Table127[[#This Row],[run2 times]])</f>
        <v/>
      </c>
      <c r="Q17" s="3">
        <f>IF(Table127[[#This Row],[total time]]="",999.99,IF(Table127[[#This Row],[total time]]=$U$3,0,MAX(0,ROUND(((Table127[[#This Row],[total time]]-$U$3)/$U$3)*$S$6,2))))</f>
        <v>999.99</v>
      </c>
      <c r="W17">
        <v>15</v>
      </c>
      <c r="X17">
        <v>164</v>
      </c>
      <c r="Y17" t="s">
        <v>24</v>
      </c>
      <c r="Z17" t="s">
        <v>547</v>
      </c>
      <c r="AA17" t="s">
        <v>754</v>
      </c>
      <c r="AB17">
        <v>2010</v>
      </c>
      <c r="AC17" s="1">
        <v>45.89</v>
      </c>
      <c r="AD17" s="1">
        <v>45.88</v>
      </c>
      <c r="AE17" s="1">
        <v>1.0621527777777777E-3</v>
      </c>
      <c r="AG17">
        <v>93749</v>
      </c>
      <c r="AH17" s="2">
        <f>_xlfn.LET(_xlpm.x,Table122110[[#This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5.311342592592593E-4</v>
      </c>
      <c r="AI17" s="3">
        <f>IF(Table122110[[#This Row],[run 1 times]]="",999.99,IF(Table122110[[#This Row],[run 1 times]]=$AO$3,0,MAX(0,ROUND(((Table122110[[#This Row],[run 1 times]]-$AO$3)/$AO$3)*$AO$6,2))))</f>
        <v>97.97</v>
      </c>
      <c r="AJ17" s="2">
        <f>_xlfn.LET(_xlpm.x,Table122110[[#This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5.3101851851851856E-4</v>
      </c>
      <c r="AK17" s="3">
        <f>IF(Table122110[[#This Row],[run2 times]]="",999.99,IF(Table122110[[#This Row],[run2 times]]=$AP$3,0,MAX(0,ROUND(((Table122110[[#This Row],[run2 times]]-$AP$3)/$AP$3)*$AO$6,2))))</f>
        <v>141.52000000000001</v>
      </c>
      <c r="AL17" s="2">
        <f>IF(OR(Table122110[[#This Row],[run 1 times]]="",Table122110[[#This Row],[run2 times]]=""),"",Table122110[[#This Row],[run 1 times]]+Table122110[[#This Row],[run2 times]])</f>
        <v>1.0621527777777777E-3</v>
      </c>
      <c r="AM17" s="3">
        <f>IF(Table122110[[#This Row],[total time]]="",999.99,IF(Table122110[[#This Row],[total time]]=$AQ$3,0,MAX(0,ROUND(((Table122110[[#This Row],[total time]]-$AQ$3)/$AQ$3)*$AO$6,2))))</f>
        <v>108.34</v>
      </c>
    </row>
    <row r="18" spans="1:39" x14ac:dyDescent="0.3">
      <c r="A18">
        <v>35</v>
      </c>
      <c r="B18">
        <v>135</v>
      </c>
      <c r="C18" t="s">
        <v>373</v>
      </c>
      <c r="D18" t="s">
        <v>480</v>
      </c>
      <c r="E18" t="s">
        <v>696</v>
      </c>
      <c r="F18">
        <v>2014</v>
      </c>
      <c r="G18" s="1" t="s">
        <v>512</v>
      </c>
      <c r="H18" s="1" t="s">
        <v>512</v>
      </c>
      <c r="I18" s="1"/>
      <c r="K18">
        <v>107242</v>
      </c>
      <c r="L18" s="2" t="str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18" s="3">
        <f>IF(Table127[[#This Row],[run 1 times]]="",999.99,IF(Table127[[#This Row],[run 1 times]]=$S$3,0,MAX(0,ROUND(((Table127[[#This Row],[run 1 times]]-$S$3)/$S$3)*$S$6,2))))</f>
        <v>999.99</v>
      </c>
      <c r="N18" s="2" t="str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18" s="3">
        <f>IF(Table127[[#This Row],[run2 times]]="",999.99,IF(Table127[[#This Row],[run2 times]]=$T$3,0,MAX(0,ROUND(((Table127[[#This Row],[run2 times]]-$T$3)/$T$3)*$S$6,2))))</f>
        <v>999.99</v>
      </c>
      <c r="P18" s="2" t="str">
        <f>IF(OR(Table127[[#This Row],[run 1 times]]="",Table127[[#This Row],[run2 times]]=""),"",Table127[[#This Row],[run 1 times]]+Table127[[#This Row],[run2 times]])</f>
        <v/>
      </c>
      <c r="Q18" s="3">
        <f>IF(Table127[[#This Row],[total time]]="",999.99,IF(Table127[[#This Row],[total time]]=$U$3,0,MAX(0,ROUND(((Table127[[#This Row],[total time]]-$U$3)/$U$3)*$S$6,2))))</f>
        <v>999.99</v>
      </c>
      <c r="W18">
        <v>16</v>
      </c>
      <c r="X18">
        <v>165</v>
      </c>
      <c r="Y18" t="s">
        <v>24</v>
      </c>
      <c r="Z18" t="s">
        <v>572</v>
      </c>
      <c r="AA18" t="s">
        <v>755</v>
      </c>
      <c r="AB18">
        <v>2009</v>
      </c>
      <c r="AC18" s="1">
        <v>44.84</v>
      </c>
      <c r="AD18" s="1">
        <v>44.03</v>
      </c>
      <c r="AE18" s="1">
        <v>1.0285879629629629E-3</v>
      </c>
      <c r="AG18">
        <v>93748</v>
      </c>
      <c r="AH18" s="2">
        <f>_xlfn.LET(_xlpm.x,Table122110[[#This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5.1898148148148149E-4</v>
      </c>
      <c r="AI18" s="3">
        <f>IF(Table122110[[#This Row],[run 1 times]]="",999.99,IF(Table122110[[#This Row],[run 1 times]]=$AO$3,0,MAX(0,ROUND(((Table122110[[#This Row],[run 1 times]]-$AO$3)/$AO$3)*$AO$6,2))))</f>
        <v>79.03</v>
      </c>
      <c r="AJ18" s="2">
        <f>_xlfn.LET(_xlpm.x,Table122110[[#This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5.0960648148148154E-4</v>
      </c>
      <c r="AK18" s="3">
        <f>IF(Table122110[[#This Row],[run2 times]]="",999.99,IF(Table122110[[#This Row],[run2 times]]=$AP$3,0,MAX(0,ROUND(((Table122110[[#This Row],[run2 times]]-$AP$3)/$AP$3)*$AO$6,2))))</f>
        <v>106.38</v>
      </c>
      <c r="AL18" s="2">
        <f>IF(OR(Table122110[[#This Row],[run 1 times]]="",Table122110[[#This Row],[run2 times]]=""),"",Table122110[[#This Row],[run 1 times]]+Table122110[[#This Row],[run2 times]])</f>
        <v>1.0285879629629629E-3</v>
      </c>
      <c r="AM18" s="3">
        <f>IF(Table122110[[#This Row],[total time]]="",999.99,IF(Table122110[[#This Row],[total time]]=$AQ$3,0,MAX(0,ROUND(((Table122110[[#This Row],[total time]]-$AQ$3)/$AQ$3)*$AO$6,2))))</f>
        <v>81.849999999999994</v>
      </c>
    </row>
    <row r="19" spans="1:39" x14ac:dyDescent="0.3">
      <c r="A19">
        <v>19</v>
      </c>
      <c r="B19">
        <v>119</v>
      </c>
      <c r="C19" t="s">
        <v>487</v>
      </c>
      <c r="D19" t="s">
        <v>480</v>
      </c>
      <c r="E19" t="s">
        <v>701</v>
      </c>
      <c r="F19">
        <v>2015</v>
      </c>
      <c r="G19" s="1">
        <v>8.6319444444444443E-4</v>
      </c>
      <c r="H19" s="1" t="s">
        <v>512</v>
      </c>
      <c r="I19" s="1"/>
      <c r="K19">
        <v>122281</v>
      </c>
      <c r="L19" s="2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8.6319444444444443E-4</v>
      </c>
      <c r="M19" s="3">
        <f>IF(Table127[[#This Row],[run 1 times]]="",999.99,IF(Table127[[#This Row],[run 1 times]]=$S$3,0,MAX(0,ROUND(((Table127[[#This Row],[run 1 times]]-$S$3)/$S$3)*$S$6,2))))</f>
        <v>511.58</v>
      </c>
      <c r="N19" s="2" t="str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19" s="3">
        <f>IF(Table127[[#This Row],[run2 times]]="",999.99,IF(Table127[[#This Row],[run2 times]]=$T$3,0,MAX(0,ROUND(((Table127[[#This Row],[run2 times]]-$T$3)/$T$3)*$S$6,2))))</f>
        <v>999.99</v>
      </c>
      <c r="P19" s="2" t="str">
        <f>IF(OR(Table127[[#This Row],[run 1 times]]="",Table127[[#This Row],[run2 times]]=""),"",Table127[[#This Row],[run 1 times]]+Table127[[#This Row],[run2 times]])</f>
        <v/>
      </c>
      <c r="Q19" s="3">
        <f>IF(Table127[[#This Row],[total time]]="",999.99,IF(Table127[[#This Row],[total time]]=$U$3,0,MAX(0,ROUND(((Table127[[#This Row],[total time]]-$U$3)/$U$3)*$S$6,2))))</f>
        <v>999.99</v>
      </c>
      <c r="W19">
        <v>17</v>
      </c>
      <c r="X19">
        <v>166</v>
      </c>
      <c r="Y19" t="s">
        <v>223</v>
      </c>
      <c r="Z19" t="s">
        <v>552</v>
      </c>
      <c r="AA19" t="s">
        <v>756</v>
      </c>
      <c r="AB19">
        <v>2008</v>
      </c>
      <c r="AC19" s="1">
        <v>46.29</v>
      </c>
      <c r="AD19" s="1">
        <v>44.39</v>
      </c>
      <c r="AE19" s="1">
        <v>1.0495370370370372E-3</v>
      </c>
      <c r="AG19">
        <v>87549</v>
      </c>
      <c r="AH19" s="2">
        <f>_xlfn.LET(_xlpm.x,Table122110[[#This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5.357638888888889E-4</v>
      </c>
      <c r="AI19" s="3">
        <f>IF(Table122110[[#This Row],[run 1 times]]="",999.99,IF(Table122110[[#This Row],[run 1 times]]=$AO$3,0,MAX(0,ROUND(((Table122110[[#This Row],[run 1 times]]-$AO$3)/$AO$3)*$AO$6,2))))</f>
        <v>105.19</v>
      </c>
      <c r="AJ19" s="2">
        <f>_xlfn.LET(_xlpm.x,Table122110[[#This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5.1377314814814818E-4</v>
      </c>
      <c r="AK19" s="3">
        <f>IF(Table122110[[#This Row],[run2 times]]="",999.99,IF(Table122110[[#This Row],[run2 times]]=$AP$3,0,MAX(0,ROUND(((Table122110[[#This Row],[run2 times]]-$AP$3)/$AP$3)*$AO$6,2))))</f>
        <v>113.21</v>
      </c>
      <c r="AL19" s="2">
        <f>IF(OR(Table122110[[#This Row],[run 1 times]]="",Table122110[[#This Row],[run2 times]]=""),"",Table122110[[#This Row],[run 1 times]]+Table122110[[#This Row],[run2 times]])</f>
        <v>1.0495370370370372E-3</v>
      </c>
      <c r="AM19" s="3">
        <f>IF(Table122110[[#This Row],[total time]]="",999.99,IF(Table122110[[#This Row],[total time]]=$AQ$3,0,MAX(0,ROUND(((Table122110[[#This Row],[total time]]-$AQ$3)/$AQ$3)*$AO$6,2))))</f>
        <v>98.39</v>
      </c>
    </row>
    <row r="20" spans="1:39" x14ac:dyDescent="0.3">
      <c r="A20">
        <v>10</v>
      </c>
      <c r="B20">
        <v>110</v>
      </c>
      <c r="C20" t="s">
        <v>487</v>
      </c>
      <c r="D20" t="s">
        <v>480</v>
      </c>
      <c r="E20" t="s">
        <v>706</v>
      </c>
      <c r="F20">
        <v>2014</v>
      </c>
      <c r="G20" s="1" t="s">
        <v>512</v>
      </c>
      <c r="H20" s="1" t="s">
        <v>512</v>
      </c>
      <c r="I20" s="1"/>
      <c r="K20">
        <v>112955</v>
      </c>
      <c r="L20" s="2" t="str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20" s="3">
        <f>IF(Table127[[#This Row],[run 1 times]]="",999.99,IF(Table127[[#This Row],[run 1 times]]=$S$3,0,MAX(0,ROUND(((Table127[[#This Row],[run 1 times]]-$S$3)/$S$3)*$S$6,2))))</f>
        <v>999.99</v>
      </c>
      <c r="N20" s="2" t="str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20" s="3">
        <f>IF(Table127[[#This Row],[run2 times]]="",999.99,IF(Table127[[#This Row],[run2 times]]=$T$3,0,MAX(0,ROUND(((Table127[[#This Row],[run2 times]]-$T$3)/$T$3)*$S$6,2))))</f>
        <v>999.99</v>
      </c>
      <c r="P20" s="2" t="str">
        <f>IF(OR(Table127[[#This Row],[run 1 times]]="",Table127[[#This Row],[run2 times]]=""),"",Table127[[#This Row],[run 1 times]]+Table127[[#This Row],[run2 times]])</f>
        <v/>
      </c>
      <c r="Q20" s="3">
        <f>IF(Table127[[#This Row],[total time]]="",999.99,IF(Table127[[#This Row],[total time]]=$U$3,0,MAX(0,ROUND(((Table127[[#This Row],[total time]]-$U$3)/$U$3)*$S$6,2))))</f>
        <v>999.99</v>
      </c>
      <c r="W20">
        <v>18</v>
      </c>
      <c r="X20">
        <v>167</v>
      </c>
      <c r="Y20" t="s">
        <v>223</v>
      </c>
      <c r="Z20" t="s">
        <v>552</v>
      </c>
      <c r="AA20" t="s">
        <v>757</v>
      </c>
      <c r="AB20">
        <v>2007</v>
      </c>
      <c r="AC20" s="1" t="s">
        <v>512</v>
      </c>
      <c r="AD20" s="1" t="s">
        <v>512</v>
      </c>
      <c r="AE20" s="1"/>
      <c r="AG20">
        <v>126692</v>
      </c>
      <c r="AH20" s="2" t="str">
        <f>_xlfn.LET(_xlpm.x,Table122110[[#This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20" s="3">
        <f>IF(Table122110[[#This Row],[run 1 times]]="",999.99,IF(Table122110[[#This Row],[run 1 times]]=$AO$3,0,MAX(0,ROUND(((Table122110[[#This Row],[run 1 times]]-$AO$3)/$AO$3)*$AO$6,2))))</f>
        <v>999.99</v>
      </c>
      <c r="AJ20" s="2" t="str">
        <f>_xlfn.LET(_xlpm.x,Table122110[[#This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20" s="3">
        <f>IF(Table122110[[#This Row],[run2 times]]="",999.99,IF(Table122110[[#This Row],[run2 times]]=$AP$3,0,MAX(0,ROUND(((Table122110[[#This Row],[run2 times]]-$AP$3)/$AP$3)*$AO$6,2))))</f>
        <v>999.99</v>
      </c>
      <c r="AL20" s="2" t="str">
        <f>IF(OR(Table122110[[#This Row],[run 1 times]]="",Table122110[[#This Row],[run2 times]]=""),"",Table122110[[#This Row],[run 1 times]]+Table122110[[#This Row],[run2 times]])</f>
        <v/>
      </c>
      <c r="AM20" s="3">
        <f>IF(Table122110[[#This Row],[total time]]="",999.99,IF(Table122110[[#This Row],[total time]]=$AQ$3,0,MAX(0,ROUND(((Table122110[[#This Row],[total time]]-$AQ$3)/$AQ$3)*$AO$6,2))))</f>
        <v>999.99</v>
      </c>
    </row>
    <row r="21" spans="1:39" x14ac:dyDescent="0.3">
      <c r="A21">
        <v>9</v>
      </c>
      <c r="B21">
        <v>109</v>
      </c>
      <c r="C21" t="s">
        <v>223</v>
      </c>
      <c r="D21" t="s">
        <v>480</v>
      </c>
      <c r="E21" t="s">
        <v>707</v>
      </c>
      <c r="F21">
        <v>2014</v>
      </c>
      <c r="G21" s="1">
        <v>54.79</v>
      </c>
      <c r="H21" s="1" t="s">
        <v>512</v>
      </c>
      <c r="I21" s="1"/>
      <c r="K21">
        <v>115872</v>
      </c>
      <c r="L21" s="2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6.3414351851851848E-4</v>
      </c>
      <c r="M21" s="3">
        <f>IF(Table127[[#This Row],[run 1 times]]="",999.99,IF(Table127[[#This Row],[run 1 times]]=$S$3,0,MAX(0,ROUND(((Table127[[#This Row],[run 1 times]]-$S$3)/$S$3)*$S$6,2))))</f>
        <v>182.13</v>
      </c>
      <c r="N21" s="2" t="str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21" s="3">
        <f>IF(Table127[[#This Row],[run2 times]]="",999.99,IF(Table127[[#This Row],[run2 times]]=$T$3,0,MAX(0,ROUND(((Table127[[#This Row],[run2 times]]-$T$3)/$T$3)*$S$6,2))))</f>
        <v>999.99</v>
      </c>
      <c r="P21" s="2" t="str">
        <f>IF(OR(Table127[[#This Row],[run 1 times]]="",Table127[[#This Row],[run2 times]]=""),"",Table127[[#This Row],[run 1 times]]+Table127[[#This Row],[run2 times]])</f>
        <v/>
      </c>
      <c r="Q21" s="3">
        <f>IF(Table127[[#This Row],[total time]]="",999.99,IF(Table127[[#This Row],[total time]]=$U$3,0,MAX(0,ROUND(((Table127[[#This Row],[total time]]-$U$3)/$U$3)*$S$6,2))))</f>
        <v>999.99</v>
      </c>
      <c r="W21">
        <v>19</v>
      </c>
      <c r="X21">
        <v>168</v>
      </c>
      <c r="Y21" t="s">
        <v>373</v>
      </c>
      <c r="Z21" t="s">
        <v>547</v>
      </c>
      <c r="AA21" t="s">
        <v>758</v>
      </c>
      <c r="AB21">
        <v>2011</v>
      </c>
      <c r="AC21" s="1">
        <v>47.26</v>
      </c>
      <c r="AD21" s="1" t="s">
        <v>512</v>
      </c>
      <c r="AE21" s="1"/>
      <c r="AG21">
        <v>94814</v>
      </c>
      <c r="AH21" s="2">
        <f>_xlfn.LET(_xlpm.x,Table122110[[#This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5.4699074074074068E-4</v>
      </c>
      <c r="AI21" s="3">
        <f>IF(Table122110[[#This Row],[run 1 times]]="",999.99,IF(Table122110[[#This Row],[run 1 times]]=$AO$3,0,MAX(0,ROUND(((Table122110[[#This Row],[run 1 times]]-$AO$3)/$AO$3)*$AO$6,2))))</f>
        <v>122.69</v>
      </c>
      <c r="AJ21" s="2" t="str">
        <f>_xlfn.LET(_xlpm.x,Table122110[[#This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21" s="3">
        <f>IF(Table122110[[#This Row],[run2 times]]="",999.99,IF(Table122110[[#This Row],[run2 times]]=$AP$3,0,MAX(0,ROUND(((Table122110[[#This Row],[run2 times]]-$AP$3)/$AP$3)*$AO$6,2))))</f>
        <v>999.99</v>
      </c>
      <c r="AL21" s="2" t="str">
        <f>IF(OR(Table122110[[#This Row],[run 1 times]]="",Table122110[[#This Row],[run2 times]]=""),"",Table122110[[#This Row],[run 1 times]]+Table122110[[#This Row],[run2 times]])</f>
        <v/>
      </c>
      <c r="AM21" s="3">
        <f>IF(Table122110[[#This Row],[total time]]="",999.99,IF(Table122110[[#This Row],[total time]]=$AQ$3,0,MAX(0,ROUND(((Table122110[[#This Row],[total time]]-$AQ$3)/$AQ$3)*$AO$6,2))))</f>
        <v>999.99</v>
      </c>
    </row>
    <row r="22" spans="1:39" x14ac:dyDescent="0.3">
      <c r="A22">
        <v>33</v>
      </c>
      <c r="B22">
        <v>133</v>
      </c>
      <c r="C22" t="s">
        <v>257</v>
      </c>
      <c r="D22" t="s">
        <v>480</v>
      </c>
      <c r="E22" t="s">
        <v>710</v>
      </c>
      <c r="F22">
        <v>2015</v>
      </c>
      <c r="G22" s="1" t="s">
        <v>512</v>
      </c>
      <c r="H22" s="1" t="s">
        <v>518</v>
      </c>
      <c r="I22" s="1"/>
      <c r="K22">
        <v>124078</v>
      </c>
      <c r="L22" s="2" t="str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22" s="3">
        <f>IF(Table127[[#This Row],[run 1 times]]="",999.99,IF(Table127[[#This Row],[run 1 times]]=$S$3,0,MAX(0,ROUND(((Table127[[#This Row],[run 1 times]]-$S$3)/$S$3)*$S$6,2))))</f>
        <v>999.99</v>
      </c>
      <c r="N22" s="2" t="str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22" s="3">
        <f>IF(Table127[[#This Row],[run2 times]]="",999.99,IF(Table127[[#This Row],[run2 times]]=$T$3,0,MAX(0,ROUND(((Table127[[#This Row],[run2 times]]-$T$3)/$T$3)*$S$6,2))))</f>
        <v>999.99</v>
      </c>
      <c r="P22" s="2" t="str">
        <f>IF(OR(Table127[[#This Row],[run 1 times]]="",Table127[[#This Row],[run2 times]]=""),"",Table127[[#This Row],[run 1 times]]+Table127[[#This Row],[run2 times]])</f>
        <v/>
      </c>
      <c r="Q22" s="3">
        <f>IF(Table127[[#This Row],[total time]]="",999.99,IF(Table127[[#This Row],[total time]]=$U$3,0,MAX(0,ROUND(((Table127[[#This Row],[total time]]-$U$3)/$U$3)*$S$6,2))))</f>
        <v>999.99</v>
      </c>
      <c r="W22">
        <v>20</v>
      </c>
      <c r="X22">
        <v>169</v>
      </c>
      <c r="Y22" t="s">
        <v>24</v>
      </c>
      <c r="Z22" t="s">
        <v>547</v>
      </c>
      <c r="AA22" t="s">
        <v>759</v>
      </c>
      <c r="AB22">
        <v>2011</v>
      </c>
      <c r="AC22" s="1">
        <v>44.55</v>
      </c>
      <c r="AD22" s="1">
        <v>43.22</v>
      </c>
      <c r="AE22" s="1">
        <v>1.0158564814814815E-3</v>
      </c>
      <c r="AG22">
        <v>88784</v>
      </c>
      <c r="AH22" s="2">
        <f>_xlfn.LET(_xlpm.x,Table122110[[#This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5.1562499999999992E-4</v>
      </c>
      <c r="AI22" s="3">
        <f>IF(Table122110[[#This Row],[run 1 times]]="",999.99,IF(Table122110[[#This Row],[run 1 times]]=$AO$3,0,MAX(0,ROUND(((Table122110[[#This Row],[run 1 times]]-$AO$3)/$AO$3)*$AO$6,2))))</f>
        <v>73.790000000000006</v>
      </c>
      <c r="AJ22" s="2">
        <f>_xlfn.LET(_xlpm.x,Table122110[[#This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5.0023148148148149E-4</v>
      </c>
      <c r="AK22" s="3">
        <f>IF(Table122110[[#This Row],[run2 times]]="",999.99,IF(Table122110[[#This Row],[run2 times]]=$AP$3,0,MAX(0,ROUND(((Table122110[[#This Row],[run2 times]]-$AP$3)/$AP$3)*$AO$6,2))))</f>
        <v>90.99</v>
      </c>
      <c r="AL22" s="2">
        <f>IF(OR(Table122110[[#This Row],[run 1 times]]="",Table122110[[#This Row],[run2 times]]=""),"",Table122110[[#This Row],[run 1 times]]+Table122110[[#This Row],[run2 times]])</f>
        <v>1.0158564814814813E-3</v>
      </c>
      <c r="AM22" s="3">
        <f>IF(Table122110[[#This Row],[total time]]="",999.99,IF(Table122110[[#This Row],[total time]]=$AQ$3,0,MAX(0,ROUND(((Table122110[[#This Row],[total time]]-$AQ$3)/$AQ$3)*$AO$6,2))))</f>
        <v>71.8</v>
      </c>
    </row>
    <row r="23" spans="1:39" x14ac:dyDescent="0.3">
      <c r="A23">
        <v>23</v>
      </c>
      <c r="B23">
        <v>123</v>
      </c>
      <c r="C23" t="s">
        <v>487</v>
      </c>
      <c r="D23" t="s">
        <v>480</v>
      </c>
      <c r="E23" t="s">
        <v>711</v>
      </c>
      <c r="F23">
        <v>2015</v>
      </c>
      <c r="G23" s="1" t="s">
        <v>512</v>
      </c>
      <c r="H23" s="1" t="s">
        <v>518</v>
      </c>
      <c r="I23" s="1"/>
      <c r="K23">
        <v>125354</v>
      </c>
      <c r="L23" s="2" t="str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23" s="3">
        <f>IF(Table127[[#This Row],[run 1 times]]="",999.99,IF(Table127[[#This Row],[run 1 times]]=$S$3,0,MAX(0,ROUND(((Table127[[#This Row],[run 1 times]]-$S$3)/$S$3)*$S$6,2))))</f>
        <v>999.99</v>
      </c>
      <c r="N23" s="2" t="str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23" s="3">
        <f>IF(Table127[[#This Row],[run2 times]]="",999.99,IF(Table127[[#This Row],[run2 times]]=$T$3,0,MAX(0,ROUND(((Table127[[#This Row],[run2 times]]-$T$3)/$T$3)*$S$6,2))))</f>
        <v>999.99</v>
      </c>
      <c r="P23" s="2" t="str">
        <f>IF(OR(Table127[[#This Row],[run 1 times]]="",Table127[[#This Row],[run2 times]]=""),"",Table127[[#This Row],[run 1 times]]+Table127[[#This Row],[run2 times]])</f>
        <v/>
      </c>
      <c r="Q23" s="3">
        <f>IF(Table127[[#This Row],[total time]]="",999.99,IF(Table127[[#This Row],[total time]]=$U$3,0,MAX(0,ROUND(((Table127[[#This Row],[total time]]-$U$3)/$U$3)*$S$6,2))))</f>
        <v>999.99</v>
      </c>
      <c r="W23">
        <v>21</v>
      </c>
      <c r="X23">
        <v>170</v>
      </c>
      <c r="Y23" t="s">
        <v>479</v>
      </c>
      <c r="Z23" t="s">
        <v>552</v>
      </c>
      <c r="AA23" t="s">
        <v>760</v>
      </c>
      <c r="AB23">
        <v>2009</v>
      </c>
      <c r="AC23" s="1">
        <v>42.79</v>
      </c>
      <c r="AD23" s="1">
        <v>39.72</v>
      </c>
      <c r="AE23" s="1">
        <v>9.5497685185185193E-4</v>
      </c>
      <c r="AG23">
        <v>94627</v>
      </c>
      <c r="AH23" s="2">
        <f>_xlfn.LET(_xlpm.x,Table122110[[#This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4.9525462962962967E-4</v>
      </c>
      <c r="AI23" s="3">
        <f>IF(Table122110[[#This Row],[run 1 times]]="",999.99,IF(Table122110[[#This Row],[run 1 times]]=$AO$3,0,MAX(0,ROUND(((Table122110[[#This Row],[run 1 times]]-$AO$3)/$AO$3)*$AO$6,2))))</f>
        <v>42.04</v>
      </c>
      <c r="AJ23" s="2">
        <f>_xlfn.LET(_xlpm.x,Table122110[[#This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4.5972222222222221E-4</v>
      </c>
      <c r="AK23" s="3">
        <f>IF(Table122110[[#This Row],[run2 times]]="",999.99,IF(Table122110[[#This Row],[run2 times]]=$AP$3,0,MAX(0,ROUND(((Table122110[[#This Row],[run2 times]]-$AP$3)/$AP$3)*$AO$6,2))))</f>
        <v>24.5</v>
      </c>
      <c r="AL23" s="2">
        <f>IF(OR(Table122110[[#This Row],[run 1 times]]="",Table122110[[#This Row],[run2 times]]=""),"",Table122110[[#This Row],[run 1 times]]+Table122110[[#This Row],[run2 times]])</f>
        <v>9.5497685185185182E-4</v>
      </c>
      <c r="AM23" s="3">
        <f>IF(Table122110[[#This Row],[total time]]="",999.99,IF(Table122110[[#This Row],[total time]]=$AQ$3,0,MAX(0,ROUND(((Table122110[[#This Row],[total time]]-$AQ$3)/$AQ$3)*$AO$6,2))))</f>
        <v>23.75</v>
      </c>
    </row>
    <row r="24" spans="1:39" x14ac:dyDescent="0.3">
      <c r="A24">
        <v>6</v>
      </c>
      <c r="B24">
        <v>106</v>
      </c>
      <c r="C24" t="s">
        <v>24</v>
      </c>
      <c r="D24" t="s">
        <v>480</v>
      </c>
      <c r="E24" t="s">
        <v>713</v>
      </c>
      <c r="F24">
        <v>2015</v>
      </c>
      <c r="G24" s="1">
        <v>9.6307870370370384E-4</v>
      </c>
      <c r="H24" s="1" t="s">
        <v>518</v>
      </c>
      <c r="I24" s="1"/>
      <c r="K24">
        <v>109922</v>
      </c>
      <c r="L24" s="2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9.6307870370370384E-4</v>
      </c>
      <c r="M24" s="3">
        <f>IF(Table127[[#This Row],[run 1 times]]="",999.99,IF(Table127[[#This Row],[run 1 times]]=$S$3,0,MAX(0,ROUND(((Table127[[#This Row],[run 1 times]]-$S$3)/$S$3)*$S$6,2))))</f>
        <v>655.25</v>
      </c>
      <c r="N24" s="2" t="str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24" s="3">
        <f>IF(Table127[[#This Row],[run2 times]]="",999.99,IF(Table127[[#This Row],[run2 times]]=$T$3,0,MAX(0,ROUND(((Table127[[#This Row],[run2 times]]-$T$3)/$T$3)*$S$6,2))))</f>
        <v>999.99</v>
      </c>
      <c r="P24" s="2" t="str">
        <f>IF(OR(Table127[[#This Row],[run 1 times]]="",Table127[[#This Row],[run2 times]]=""),"",Table127[[#This Row],[run 1 times]]+Table127[[#This Row],[run2 times]])</f>
        <v/>
      </c>
      <c r="Q24" s="3">
        <f>IF(Table127[[#This Row],[total time]]="",999.99,IF(Table127[[#This Row],[total time]]=$U$3,0,MAX(0,ROUND(((Table127[[#This Row],[total time]]-$U$3)/$U$3)*$S$6,2))))</f>
        <v>999.99</v>
      </c>
      <c r="W24">
        <v>22</v>
      </c>
      <c r="X24">
        <v>171</v>
      </c>
      <c r="Y24" t="s">
        <v>24</v>
      </c>
      <c r="Z24" t="s">
        <v>552</v>
      </c>
      <c r="AA24" t="s">
        <v>761</v>
      </c>
      <c r="AB24">
        <v>2009</v>
      </c>
      <c r="AC24" s="1" t="s">
        <v>512</v>
      </c>
      <c r="AD24" s="1">
        <v>38.43</v>
      </c>
      <c r="AE24" s="1"/>
      <c r="AG24">
        <v>84474</v>
      </c>
      <c r="AH24" s="2" t="str">
        <f>_xlfn.LET(_xlpm.x,Table122110[[#This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24" s="3">
        <f>IF(Table122110[[#This Row],[run 1 times]]="",999.99,IF(Table122110[[#This Row],[run 1 times]]=$AO$3,0,MAX(0,ROUND(((Table122110[[#This Row],[run 1 times]]-$AO$3)/$AO$3)*$AO$6,2))))</f>
        <v>999.99</v>
      </c>
      <c r="AJ24" s="2">
        <f>_xlfn.LET(_xlpm.x,Table122110[[#This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4.4479166666666669E-4</v>
      </c>
      <c r="AK24" s="3">
        <f>IF(Table122110[[#This Row],[run2 times]]="",999.99,IF(Table122110[[#This Row],[run2 times]]=$AP$3,0,MAX(0,ROUND(((Table122110[[#This Row],[run2 times]]-$AP$3)/$AP$3)*$AO$6,2))))</f>
        <v>0</v>
      </c>
      <c r="AL24" s="2" t="str">
        <f>IF(OR(Table122110[[#This Row],[run 1 times]]="",Table122110[[#This Row],[run2 times]]=""),"",Table122110[[#This Row],[run 1 times]]+Table122110[[#This Row],[run2 times]])</f>
        <v/>
      </c>
      <c r="AM24" s="3">
        <f>IF(Table122110[[#This Row],[total time]]="",999.99,IF(Table122110[[#This Row],[total time]]=$AQ$3,0,MAX(0,ROUND(((Table122110[[#This Row],[total time]]-$AQ$3)/$AQ$3)*$AO$6,2))))</f>
        <v>999.99</v>
      </c>
    </row>
    <row r="25" spans="1:39" x14ac:dyDescent="0.3">
      <c r="A25">
        <v>1</v>
      </c>
      <c r="B25">
        <v>101</v>
      </c>
      <c r="C25" t="s">
        <v>479</v>
      </c>
      <c r="D25" t="s">
        <v>522</v>
      </c>
      <c r="E25" t="s">
        <v>668</v>
      </c>
      <c r="F25">
        <v>2013</v>
      </c>
      <c r="G25" s="1">
        <v>43.85</v>
      </c>
      <c r="H25" s="1">
        <v>49.94</v>
      </c>
      <c r="I25" s="1">
        <v>1.0855324074074072E-3</v>
      </c>
      <c r="K25">
        <v>101440</v>
      </c>
      <c r="L25" s="2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5.0752314814814811E-4</v>
      </c>
      <c r="M25" s="3">
        <f>IF(Table127[[#This Row],[run 1 times]]="",999.99,IF(Table127[[#This Row],[run 1 times]]=$S$3,0,MAX(0,ROUND(((Table127[[#This Row],[run 1 times]]-$S$3)/$S$3)*$S$6,2))))</f>
        <v>0</v>
      </c>
      <c r="N25" s="2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5.7800925925925923E-4</v>
      </c>
      <c r="O25" s="3">
        <f>IF(Table127[[#This Row],[run2 times]]="",999.99,IF(Table127[[#This Row],[run2 times]]=$T$3,0,MAX(0,ROUND(((Table127[[#This Row],[run2 times]]-$T$3)/$T$3)*$S$6,2))))</f>
        <v>0</v>
      </c>
      <c r="P25" s="2">
        <f>IF(OR(Table127[[#This Row],[run 1 times]]="",Table127[[#This Row],[run2 times]]=""),"",Table127[[#This Row],[run 1 times]]+Table127[[#This Row],[run2 times]])</f>
        <v>1.0855324074074075E-3</v>
      </c>
      <c r="Q25" s="3">
        <f>IF(Table127[[#This Row],[total time]]="",999.99,IF(Table127[[#This Row],[total time]]=$U$3,0,MAX(0,ROUND(((Table127[[#This Row],[total time]]-$U$3)/$U$3)*$S$6,2))))</f>
        <v>0</v>
      </c>
      <c r="W25">
        <v>23</v>
      </c>
      <c r="X25">
        <v>172</v>
      </c>
      <c r="Y25" t="s">
        <v>24</v>
      </c>
      <c r="Z25" t="s">
        <v>547</v>
      </c>
      <c r="AA25" t="s">
        <v>762</v>
      </c>
      <c r="AB25">
        <v>2011</v>
      </c>
      <c r="AC25" s="1">
        <v>47.12</v>
      </c>
      <c r="AD25" s="1">
        <v>46.75</v>
      </c>
      <c r="AE25" s="1">
        <v>1.0864583333333334E-3</v>
      </c>
      <c r="AG25">
        <v>89867</v>
      </c>
      <c r="AH25" s="2">
        <f>_xlfn.LET(_xlpm.x,Table122110[[#This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5.4537037037037032E-4</v>
      </c>
      <c r="AI25" s="3">
        <f>IF(Table122110[[#This Row],[run 1 times]]="",999.99,IF(Table122110[[#This Row],[run 1 times]]=$AO$3,0,MAX(0,ROUND(((Table122110[[#This Row],[run 1 times]]-$AO$3)/$AO$3)*$AO$6,2))))</f>
        <v>120.16</v>
      </c>
      <c r="AJ25" s="2">
        <f>_xlfn.LET(_xlpm.x,Table122110[[#This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5.4108796296296294E-4</v>
      </c>
      <c r="AK25" s="3">
        <f>IF(Table122110[[#This Row],[run2 times]]="",999.99,IF(Table122110[[#This Row],[run2 times]]=$AP$3,0,MAX(0,ROUND(((Table122110[[#This Row],[run2 times]]-$AP$3)/$AP$3)*$AO$6,2))))</f>
        <v>158.04</v>
      </c>
      <c r="AL25" s="2">
        <f>IF(OR(Table122110[[#This Row],[run 1 times]]="",Table122110[[#This Row],[run2 times]]=""),"",Table122110[[#This Row],[run 1 times]]+Table122110[[#This Row],[run2 times]])</f>
        <v>1.0864583333333334E-3</v>
      </c>
      <c r="AM25" s="3">
        <f>IF(Table122110[[#This Row],[total time]]="",999.99,IF(Table122110[[#This Row],[total time]]=$AQ$3,0,MAX(0,ROUND(((Table122110[[#This Row],[total time]]-$AQ$3)/$AQ$3)*$AO$6,2))))</f>
        <v>127.53</v>
      </c>
    </row>
    <row r="26" spans="1:39" x14ac:dyDescent="0.3">
      <c r="A26">
        <v>32</v>
      </c>
      <c r="B26">
        <v>132</v>
      </c>
      <c r="C26" t="s">
        <v>479</v>
      </c>
      <c r="D26" t="s">
        <v>522</v>
      </c>
      <c r="E26" t="s">
        <v>670</v>
      </c>
      <c r="F26">
        <v>2012</v>
      </c>
      <c r="G26" s="1">
        <v>47.44</v>
      </c>
      <c r="H26" s="1">
        <v>53.7</v>
      </c>
      <c r="I26" s="1">
        <v>1.1706018518518519E-3</v>
      </c>
      <c r="K26">
        <v>101431</v>
      </c>
      <c r="L26" s="2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5.49074074074074E-4</v>
      </c>
      <c r="M26" s="3">
        <f>IF(Table127[[#This Row],[run 1 times]]="",999.99,IF(Table127[[#This Row],[run 1 times]]=$S$3,0,MAX(0,ROUND(((Table127[[#This Row],[run 1 times]]-$S$3)/$S$3)*$S$6,2))))</f>
        <v>59.77</v>
      </c>
      <c r="N26" s="2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6.2152777777777781E-4</v>
      </c>
      <c r="O26" s="3">
        <f>IF(Table127[[#This Row],[run2 times]]="",999.99,IF(Table127[[#This Row],[run2 times]]=$T$3,0,MAX(0,ROUND(((Table127[[#This Row],[run2 times]]-$T$3)/$T$3)*$S$6,2))))</f>
        <v>54.96</v>
      </c>
      <c r="P26" s="2">
        <f>IF(OR(Table127[[#This Row],[run 1 times]]="",Table127[[#This Row],[run2 times]]=""),"",Table127[[#This Row],[run 1 times]]+Table127[[#This Row],[run2 times]])</f>
        <v>1.1706018518518519E-3</v>
      </c>
      <c r="Q26" s="3">
        <f>IF(Table127[[#This Row],[total time]]="",999.99,IF(Table127[[#This Row],[total time]]=$U$3,0,MAX(0,ROUND(((Table127[[#This Row],[total time]]-$U$3)/$U$3)*$S$6,2))))</f>
        <v>57.21</v>
      </c>
      <c r="W26">
        <v>24</v>
      </c>
      <c r="X26">
        <v>173</v>
      </c>
      <c r="Y26" t="s">
        <v>257</v>
      </c>
      <c r="Z26" t="s">
        <v>552</v>
      </c>
      <c r="AA26" t="s">
        <v>763</v>
      </c>
      <c r="AB26">
        <v>2008</v>
      </c>
      <c r="AC26" s="1">
        <v>41.73</v>
      </c>
      <c r="AD26" s="1">
        <v>40.06</v>
      </c>
      <c r="AE26" s="1">
        <v>9.4664351851851843E-4</v>
      </c>
      <c r="AG26">
        <v>87497</v>
      </c>
      <c r="AH26" s="2">
        <f>_xlfn.LET(_xlpm.x,Table122110[[#This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4.8298611111111106E-4</v>
      </c>
      <c r="AI26" s="3">
        <f>IF(Table122110[[#This Row],[run 1 times]]="",999.99,IF(Table122110[[#This Row],[run 1 times]]=$AO$3,0,MAX(0,ROUND(((Table122110[[#This Row],[run 1 times]]-$AO$3)/$AO$3)*$AO$6,2))))</f>
        <v>22.91</v>
      </c>
      <c r="AJ26" s="2">
        <f>_xlfn.LET(_xlpm.x,Table122110[[#This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4.6365740740740742E-4</v>
      </c>
      <c r="AK26" s="3">
        <f>IF(Table122110[[#This Row],[run2 times]]="",999.99,IF(Table122110[[#This Row],[run2 times]]=$AP$3,0,MAX(0,ROUND(((Table122110[[#This Row],[run2 times]]-$AP$3)/$AP$3)*$AO$6,2))))</f>
        <v>30.96</v>
      </c>
      <c r="AL26" s="2">
        <f>IF(OR(Table122110[[#This Row],[run 1 times]]="",Table122110[[#This Row],[run2 times]]=""),"",Table122110[[#This Row],[run 1 times]]+Table122110[[#This Row],[run2 times]])</f>
        <v>9.4664351851851854E-4</v>
      </c>
      <c r="AM26" s="3">
        <f>IF(Table122110[[#This Row],[total time]]="",999.99,IF(Table122110[[#This Row],[total time]]=$AQ$3,0,MAX(0,ROUND(((Table122110[[#This Row],[total time]]-$AQ$3)/$AQ$3)*$AO$6,2))))</f>
        <v>17.170000000000002</v>
      </c>
    </row>
    <row r="27" spans="1:39" x14ac:dyDescent="0.3">
      <c r="A27">
        <v>41</v>
      </c>
      <c r="B27">
        <v>141</v>
      </c>
      <c r="C27" t="s">
        <v>223</v>
      </c>
      <c r="D27" t="s">
        <v>522</v>
      </c>
      <c r="E27" t="s">
        <v>672</v>
      </c>
      <c r="F27">
        <v>2013</v>
      </c>
      <c r="G27" s="1">
        <v>50.07</v>
      </c>
      <c r="H27" s="1">
        <v>54.09</v>
      </c>
      <c r="I27" s="1">
        <v>1.2055555555555554E-3</v>
      </c>
      <c r="K27">
        <v>105181</v>
      </c>
      <c r="L27" s="2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5.7951388888888885E-4</v>
      </c>
      <c r="M27" s="3">
        <f>IF(Table127[[#This Row],[run 1 times]]="",999.99,IF(Table127[[#This Row],[run 1 times]]=$S$3,0,MAX(0,ROUND(((Table127[[#This Row],[run 1 times]]-$S$3)/$S$3)*$S$6,2))))</f>
        <v>103.55</v>
      </c>
      <c r="N27" s="2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6.2604166666666667E-4</v>
      </c>
      <c r="O27" s="3">
        <f>IF(Table127[[#This Row],[run2 times]]="",999.99,IF(Table127[[#This Row],[run2 times]]=$T$3,0,MAX(0,ROUND(((Table127[[#This Row],[run2 times]]-$T$3)/$T$3)*$S$6,2))))</f>
        <v>60.66</v>
      </c>
      <c r="P27" s="2">
        <f>IF(OR(Table127[[#This Row],[run 1 times]]="",Table127[[#This Row],[run2 times]]=""),"",Table127[[#This Row],[run 1 times]]+Table127[[#This Row],[run2 times]])</f>
        <v>1.2055555555555556E-3</v>
      </c>
      <c r="Q27" s="3">
        <f>IF(Table127[[#This Row],[total time]]="",999.99,IF(Table127[[#This Row],[total time]]=$U$3,0,MAX(0,ROUND(((Table127[[#This Row],[total time]]-$U$3)/$U$3)*$S$6,2))))</f>
        <v>80.709999999999994</v>
      </c>
      <c r="W27">
        <v>25</v>
      </c>
      <c r="X27">
        <v>174</v>
      </c>
      <c r="Y27" t="s">
        <v>487</v>
      </c>
      <c r="Z27" t="s">
        <v>547</v>
      </c>
      <c r="AA27" t="s">
        <v>764</v>
      </c>
      <c r="AB27">
        <v>2010</v>
      </c>
      <c r="AC27" s="1" t="s">
        <v>512</v>
      </c>
      <c r="AD27" s="1">
        <v>52.78</v>
      </c>
      <c r="AE27" s="1"/>
      <c r="AG27">
        <v>89445</v>
      </c>
      <c r="AH27" s="2" t="str">
        <f>_xlfn.LET(_xlpm.x,Table122110[[#This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27" s="3">
        <f>IF(Table122110[[#This Row],[run 1 times]]="",999.99,IF(Table122110[[#This Row],[run 1 times]]=$AO$3,0,MAX(0,ROUND(((Table122110[[#This Row],[run 1 times]]-$AO$3)/$AO$3)*$AO$6,2))))</f>
        <v>999.99</v>
      </c>
      <c r="AJ27" s="2">
        <f>_xlfn.LET(_xlpm.x,Table122110[[#This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6.1087962962962962E-4</v>
      </c>
      <c r="AK27" s="3">
        <f>IF(Table122110[[#This Row],[run2 times]]="",999.99,IF(Table122110[[#This Row],[run2 times]]=$AP$3,0,MAX(0,ROUND(((Table122110[[#This Row],[run2 times]]-$AP$3)/$AP$3)*$AO$6,2))))</f>
        <v>272.58999999999997</v>
      </c>
      <c r="AL27" s="2" t="str">
        <f>IF(OR(Table122110[[#This Row],[run 1 times]]="",Table122110[[#This Row],[run2 times]]=""),"",Table122110[[#This Row],[run 1 times]]+Table122110[[#This Row],[run2 times]])</f>
        <v/>
      </c>
      <c r="AM27" s="3">
        <f>IF(Table122110[[#This Row],[total time]]="",999.99,IF(Table122110[[#This Row],[total time]]=$AQ$3,0,MAX(0,ROUND(((Table122110[[#This Row],[total time]]-$AQ$3)/$AQ$3)*$AO$6,2))))</f>
        <v>999.99</v>
      </c>
    </row>
    <row r="28" spans="1:39" x14ac:dyDescent="0.3">
      <c r="A28">
        <v>36</v>
      </c>
      <c r="B28">
        <v>136</v>
      </c>
      <c r="C28" t="s">
        <v>479</v>
      </c>
      <c r="D28" t="s">
        <v>522</v>
      </c>
      <c r="E28" t="s">
        <v>673</v>
      </c>
      <c r="F28">
        <v>2012</v>
      </c>
      <c r="G28" s="1">
        <v>50.66</v>
      </c>
      <c r="H28" s="1">
        <v>54.91</v>
      </c>
      <c r="I28" s="1">
        <v>1.2218749999999999E-3</v>
      </c>
      <c r="K28">
        <v>108263</v>
      </c>
      <c r="L28" s="2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5.8634259259259251E-4</v>
      </c>
      <c r="M28" s="3">
        <f>IF(Table127[[#This Row],[run 1 times]]="",999.99,IF(Table127[[#This Row],[run 1 times]]=$S$3,0,MAX(0,ROUND(((Table127[[#This Row],[run 1 times]]-$S$3)/$S$3)*$S$6,2))))</f>
        <v>113.37</v>
      </c>
      <c r="N28" s="2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6.3553240740740736E-4</v>
      </c>
      <c r="O28" s="3">
        <f>IF(Table127[[#This Row],[run2 times]]="",999.99,IF(Table127[[#This Row],[run2 times]]=$T$3,0,MAX(0,ROUND(((Table127[[#This Row],[run2 times]]-$T$3)/$T$3)*$S$6,2))))</f>
        <v>72.650000000000006</v>
      </c>
      <c r="P28" s="2">
        <f>IF(OR(Table127[[#This Row],[run 1 times]]="",Table127[[#This Row],[run2 times]]=""),"",Table127[[#This Row],[run 1 times]]+Table127[[#This Row],[run2 times]])</f>
        <v>1.2218749999999999E-3</v>
      </c>
      <c r="Q28" s="3">
        <f>IF(Table127[[#This Row],[total time]]="",999.99,IF(Table127[[#This Row],[total time]]=$U$3,0,MAX(0,ROUND(((Table127[[#This Row],[total time]]-$U$3)/$U$3)*$S$6,2))))</f>
        <v>91.69</v>
      </c>
      <c r="W28">
        <v>26</v>
      </c>
      <c r="X28">
        <v>175</v>
      </c>
      <c r="Y28" t="s">
        <v>479</v>
      </c>
      <c r="Z28" t="s">
        <v>552</v>
      </c>
      <c r="AA28" t="s">
        <v>765</v>
      </c>
      <c r="AB28">
        <v>2009</v>
      </c>
      <c r="AC28" s="1">
        <v>40.46</v>
      </c>
      <c r="AD28" s="1">
        <v>39.450000000000003</v>
      </c>
      <c r="AE28" s="1">
        <v>9.2488425925925919E-4</v>
      </c>
      <c r="AG28">
        <v>87824</v>
      </c>
      <c r="AH28" s="2">
        <f>_xlfn.LET(_xlpm.x,Table122110[[#This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4.6828703703703702E-4</v>
      </c>
      <c r="AI28" s="3">
        <f>IF(Table122110[[#This Row],[run 1 times]]="",999.99,IF(Table122110[[#This Row],[run 1 times]]=$AO$3,0,MAX(0,ROUND(((Table122110[[#This Row],[run 1 times]]-$AO$3)/$AO$3)*$AO$6,2))))</f>
        <v>0</v>
      </c>
      <c r="AJ28" s="2">
        <f>_xlfn.LET(_xlpm.x,Table122110[[#This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4.5659722222222228E-4</v>
      </c>
      <c r="AK28" s="3">
        <f>IF(Table122110[[#This Row],[run2 times]]="",999.99,IF(Table122110[[#This Row],[run2 times]]=$AP$3,0,MAX(0,ROUND(((Table122110[[#This Row],[run2 times]]-$AP$3)/$AP$3)*$AO$6,2))))</f>
        <v>19.38</v>
      </c>
      <c r="AL28" s="2">
        <f>IF(OR(Table122110[[#This Row],[run 1 times]]="",Table122110[[#This Row],[run2 times]]=""),"",Table122110[[#This Row],[run 1 times]]+Table122110[[#This Row],[run2 times]])</f>
        <v>9.248842592592593E-4</v>
      </c>
      <c r="AM28" s="3">
        <f>IF(Table122110[[#This Row],[total time]]="",999.99,IF(Table122110[[#This Row],[total time]]=$AQ$3,0,MAX(0,ROUND(((Table122110[[#This Row],[total time]]-$AQ$3)/$AQ$3)*$AO$6,2))))</f>
        <v>0</v>
      </c>
    </row>
    <row r="29" spans="1:39" x14ac:dyDescent="0.3">
      <c r="A29">
        <v>24</v>
      </c>
      <c r="B29">
        <v>124</v>
      </c>
      <c r="C29" t="s">
        <v>373</v>
      </c>
      <c r="D29" t="s">
        <v>522</v>
      </c>
      <c r="E29" t="s">
        <v>674</v>
      </c>
      <c r="F29">
        <v>2012</v>
      </c>
      <c r="G29" s="1">
        <v>54.79</v>
      </c>
      <c r="H29" s="1">
        <v>55.95</v>
      </c>
      <c r="I29" s="1">
        <v>1.281712962962963E-3</v>
      </c>
      <c r="K29">
        <v>122060</v>
      </c>
      <c r="L29" s="2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6.3414351851851848E-4</v>
      </c>
      <c r="M29" s="3">
        <f>IF(Table127[[#This Row],[run 1 times]]="",999.99,IF(Table127[[#This Row],[run 1 times]]=$S$3,0,MAX(0,ROUND(((Table127[[#This Row],[run 1 times]]-$S$3)/$S$3)*$S$6,2))))</f>
        <v>182.13</v>
      </c>
      <c r="N29" s="2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6.4756944444444443E-4</v>
      </c>
      <c r="O29" s="3">
        <f>IF(Table127[[#This Row],[run2 times]]="",999.99,IF(Table127[[#This Row],[run2 times]]=$T$3,0,MAX(0,ROUND(((Table127[[#This Row],[run2 times]]-$T$3)/$T$3)*$S$6,2))))</f>
        <v>87.85</v>
      </c>
      <c r="P29" s="2">
        <f>IF(OR(Table127[[#This Row],[run 1 times]]="",Table127[[#This Row],[run2 times]]=""),"",Table127[[#This Row],[run 1 times]]+Table127[[#This Row],[run2 times]])</f>
        <v>1.2817129629629628E-3</v>
      </c>
      <c r="Q29" s="3">
        <f>IF(Table127[[#This Row],[total time]]="",999.99,IF(Table127[[#This Row],[total time]]=$U$3,0,MAX(0,ROUND(((Table127[[#This Row],[total time]]-$U$3)/$U$3)*$S$6,2))))</f>
        <v>131.93</v>
      </c>
      <c r="W29">
        <v>27</v>
      </c>
      <c r="X29">
        <v>176</v>
      </c>
      <c r="Y29" t="s">
        <v>257</v>
      </c>
      <c r="Z29" t="s">
        <v>547</v>
      </c>
      <c r="AA29" t="s">
        <v>766</v>
      </c>
      <c r="AB29">
        <v>2011</v>
      </c>
      <c r="AC29" s="1" t="s">
        <v>512</v>
      </c>
      <c r="AD29" s="1">
        <v>45.89</v>
      </c>
      <c r="AE29" s="1"/>
      <c r="AG29">
        <v>102722</v>
      </c>
      <c r="AH29" s="2" t="str">
        <f>_xlfn.LET(_xlpm.x,Table122110[[#This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29" s="3">
        <f>IF(Table122110[[#This Row],[run 1 times]]="",999.99,IF(Table122110[[#This Row],[run 1 times]]=$AO$3,0,MAX(0,ROUND(((Table122110[[#This Row],[run 1 times]]-$AO$3)/$AO$3)*$AO$6,2))))</f>
        <v>999.99</v>
      </c>
      <c r="AJ29" s="2">
        <f>_xlfn.LET(_xlpm.x,Table122110[[#This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5.311342592592593E-4</v>
      </c>
      <c r="AK29" s="3">
        <f>IF(Table122110[[#This Row],[run2 times]]="",999.99,IF(Table122110[[#This Row],[run2 times]]=$AP$3,0,MAX(0,ROUND(((Table122110[[#This Row],[run2 times]]-$AP$3)/$AP$3)*$AO$6,2))))</f>
        <v>141.71</v>
      </c>
      <c r="AL29" s="2" t="str">
        <f>IF(OR(Table122110[[#This Row],[run 1 times]]="",Table122110[[#This Row],[run2 times]]=""),"",Table122110[[#This Row],[run 1 times]]+Table122110[[#This Row],[run2 times]])</f>
        <v/>
      </c>
      <c r="AM29" s="3">
        <f>IF(Table122110[[#This Row],[total time]]="",999.99,IF(Table122110[[#This Row],[total time]]=$AQ$3,0,MAX(0,ROUND(((Table122110[[#This Row],[total time]]-$AQ$3)/$AQ$3)*$AO$6,2))))</f>
        <v>999.99</v>
      </c>
    </row>
    <row r="30" spans="1:39" x14ac:dyDescent="0.3">
      <c r="A30">
        <v>15</v>
      </c>
      <c r="B30">
        <v>115</v>
      </c>
      <c r="C30" t="s">
        <v>257</v>
      </c>
      <c r="D30" t="s">
        <v>522</v>
      </c>
      <c r="E30" t="s">
        <v>675</v>
      </c>
      <c r="F30">
        <v>2013</v>
      </c>
      <c r="G30" s="1">
        <v>56.07</v>
      </c>
      <c r="H30" s="1">
        <v>57.46</v>
      </c>
      <c r="I30" s="1">
        <v>1.3140046296296296E-3</v>
      </c>
      <c r="K30">
        <v>117684</v>
      </c>
      <c r="L30" s="2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6.4895833333333331E-4</v>
      </c>
      <c r="M30" s="3">
        <f>IF(Table127[[#This Row],[run 1 times]]="",999.99,IF(Table127[[#This Row],[run 1 times]]=$S$3,0,MAX(0,ROUND(((Table127[[#This Row],[run 1 times]]-$S$3)/$S$3)*$S$6,2))))</f>
        <v>203.43</v>
      </c>
      <c r="N30" s="2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6.6504629629629628E-4</v>
      </c>
      <c r="O30" s="3">
        <f>IF(Table127[[#This Row],[run2 times]]="",999.99,IF(Table127[[#This Row],[run2 times]]=$T$3,0,MAX(0,ROUND(((Table127[[#This Row],[run2 times]]-$T$3)/$T$3)*$S$6,2))))</f>
        <v>109.92</v>
      </c>
      <c r="P30" s="2">
        <f>IF(OR(Table127[[#This Row],[run 1 times]]="",Table127[[#This Row],[run2 times]]=""),"",Table127[[#This Row],[run 1 times]]+Table127[[#This Row],[run2 times]])</f>
        <v>1.3140046296296296E-3</v>
      </c>
      <c r="Q30" s="3">
        <f>IF(Table127[[#This Row],[total time]]="",999.99,IF(Table127[[#This Row],[total time]]=$U$3,0,MAX(0,ROUND(((Table127[[#This Row],[total time]]-$U$3)/$U$3)*$S$6,2))))</f>
        <v>153.63999999999999</v>
      </c>
      <c r="W30">
        <v>28</v>
      </c>
      <c r="X30">
        <v>177</v>
      </c>
      <c r="Y30" t="s">
        <v>257</v>
      </c>
      <c r="Z30" t="s">
        <v>547</v>
      </c>
      <c r="AA30" t="s">
        <v>767</v>
      </c>
      <c r="AB30">
        <v>2010</v>
      </c>
      <c r="AC30" s="1" t="s">
        <v>512</v>
      </c>
      <c r="AD30" s="1">
        <v>46.7</v>
      </c>
      <c r="AE30" s="1"/>
      <c r="AG30">
        <v>106380</v>
      </c>
      <c r="AH30" s="2" t="str">
        <f>_xlfn.LET(_xlpm.x,Table122110[[#This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30" s="3">
        <f>IF(Table122110[[#This Row],[run 1 times]]="",999.99,IF(Table122110[[#This Row],[run 1 times]]=$AO$3,0,MAX(0,ROUND(((Table122110[[#This Row],[run 1 times]]-$AO$3)/$AO$3)*$AO$6,2))))</f>
        <v>999.99</v>
      </c>
      <c r="AJ30" s="2">
        <f>_xlfn.LET(_xlpm.x,Table122110[[#This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5.4050925925925924E-4</v>
      </c>
      <c r="AK30" s="3">
        <f>IF(Table122110[[#This Row],[run2 times]]="",999.99,IF(Table122110[[#This Row],[run2 times]]=$AP$3,0,MAX(0,ROUND(((Table122110[[#This Row],[run2 times]]-$AP$3)/$AP$3)*$AO$6,2))))</f>
        <v>157.09</v>
      </c>
      <c r="AL30" s="2" t="str">
        <f>IF(OR(Table122110[[#This Row],[run 1 times]]="",Table122110[[#This Row],[run2 times]]=""),"",Table122110[[#This Row],[run 1 times]]+Table122110[[#This Row],[run2 times]])</f>
        <v/>
      </c>
      <c r="AM30" s="3">
        <f>IF(Table122110[[#This Row],[total time]]="",999.99,IF(Table122110[[#This Row],[total time]]=$AQ$3,0,MAX(0,ROUND(((Table122110[[#This Row],[total time]]-$AQ$3)/$AQ$3)*$AO$6,2))))</f>
        <v>999.99</v>
      </c>
    </row>
    <row r="31" spans="1:39" x14ac:dyDescent="0.3">
      <c r="A31">
        <v>39</v>
      </c>
      <c r="B31">
        <v>139</v>
      </c>
      <c r="C31" t="s">
        <v>479</v>
      </c>
      <c r="D31" t="s">
        <v>522</v>
      </c>
      <c r="E31" t="s">
        <v>677</v>
      </c>
      <c r="F31">
        <v>2012</v>
      </c>
      <c r="G31" s="1">
        <v>58.76</v>
      </c>
      <c r="H31" s="1">
        <v>6.9699074074074075E-4</v>
      </c>
      <c r="I31" s="1">
        <v>1.3770833333333332E-3</v>
      </c>
      <c r="K31">
        <v>102357</v>
      </c>
      <c r="L31" s="2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6.800925925925926E-4</v>
      </c>
      <c r="M31" s="3">
        <f>IF(Table127[[#This Row],[run 1 times]]="",999.99,IF(Table127[[#This Row],[run 1 times]]=$S$3,0,MAX(0,ROUND(((Table127[[#This Row],[run 1 times]]-$S$3)/$S$3)*$S$6,2))))</f>
        <v>248.22</v>
      </c>
      <c r="N31" s="2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6.9699074074074075E-4</v>
      </c>
      <c r="O31" s="3">
        <f>IF(Table127[[#This Row],[run2 times]]="",999.99,IF(Table127[[#This Row],[run2 times]]=$T$3,0,MAX(0,ROUND(((Table127[[#This Row],[run2 times]]-$T$3)/$T$3)*$S$6,2))))</f>
        <v>150.27000000000001</v>
      </c>
      <c r="P31" s="2">
        <f>IF(OR(Table127[[#This Row],[run 1 times]]="",Table127[[#This Row],[run2 times]]=""),"",Table127[[#This Row],[run 1 times]]+Table127[[#This Row],[run2 times]])</f>
        <v>1.3770833333333335E-3</v>
      </c>
      <c r="Q31" s="3">
        <f>IF(Table127[[#This Row],[total time]]="",999.99,IF(Table127[[#This Row],[total time]]=$U$3,0,MAX(0,ROUND(((Table127[[#This Row],[total time]]-$U$3)/$U$3)*$S$6,2))))</f>
        <v>196.06</v>
      </c>
    </row>
    <row r="32" spans="1:39" x14ac:dyDescent="0.3">
      <c r="A32">
        <v>34</v>
      </c>
      <c r="B32">
        <v>134</v>
      </c>
      <c r="C32" t="s">
        <v>479</v>
      </c>
      <c r="D32" t="s">
        <v>522</v>
      </c>
      <c r="E32" t="s">
        <v>678</v>
      </c>
      <c r="F32">
        <v>2012</v>
      </c>
      <c r="G32" s="1">
        <v>55.72</v>
      </c>
      <c r="H32" s="1">
        <v>6.9803240740740741E-4</v>
      </c>
      <c r="I32" s="1">
        <v>1.3429398148148148E-3</v>
      </c>
      <c r="K32">
        <v>108194</v>
      </c>
      <c r="L32" s="2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6.4490740740740741E-4</v>
      </c>
      <c r="M32" s="3">
        <f>IF(Table127[[#This Row],[run 1 times]]="",999.99,IF(Table127[[#This Row],[run 1 times]]=$S$3,0,MAX(0,ROUND(((Table127[[#This Row],[run 1 times]]-$S$3)/$S$3)*$S$6,2))))</f>
        <v>197.61</v>
      </c>
      <c r="N32" s="2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6.9803240740740741E-4</v>
      </c>
      <c r="O32" s="3">
        <f>IF(Table127[[#This Row],[run2 times]]="",999.99,IF(Table127[[#This Row],[run2 times]]=$T$3,0,MAX(0,ROUND(((Table127[[#This Row],[run2 times]]-$T$3)/$T$3)*$S$6,2))))</f>
        <v>151.58000000000001</v>
      </c>
      <c r="P32" s="2">
        <f>IF(OR(Table127[[#This Row],[run 1 times]]="",Table127[[#This Row],[run2 times]]=""),"",Table127[[#This Row],[run 1 times]]+Table127[[#This Row],[run2 times]])</f>
        <v>1.3429398148148148E-3</v>
      </c>
      <c r="Q32" s="3">
        <f>IF(Table127[[#This Row],[total time]]="",999.99,IF(Table127[[#This Row],[total time]]=$U$3,0,MAX(0,ROUND(((Table127[[#This Row],[total time]]-$U$3)/$U$3)*$S$6,2))))</f>
        <v>173.1</v>
      </c>
    </row>
    <row r="33" spans="1:17" x14ac:dyDescent="0.3">
      <c r="A33">
        <v>30</v>
      </c>
      <c r="B33">
        <v>130</v>
      </c>
      <c r="C33" t="s">
        <v>24</v>
      </c>
      <c r="D33" t="s">
        <v>522</v>
      </c>
      <c r="E33" t="s">
        <v>681</v>
      </c>
      <c r="F33">
        <v>2013</v>
      </c>
      <c r="G33" s="1">
        <v>59.63</v>
      </c>
      <c r="H33" s="1">
        <v>7.6585648148148151E-4</v>
      </c>
      <c r="I33" s="1">
        <v>1.4560185185185184E-3</v>
      </c>
      <c r="K33">
        <v>108684</v>
      </c>
      <c r="L33" s="2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6.9016203703703709E-4</v>
      </c>
      <c r="M33" s="3">
        <f>IF(Table127[[#This Row],[run 1 times]]="",999.99,IF(Table127[[#This Row],[run 1 times]]=$S$3,0,MAX(0,ROUND(((Table127[[#This Row],[run 1 times]]-$S$3)/$S$3)*$S$6,2))))</f>
        <v>262.7</v>
      </c>
      <c r="N33" s="2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7.6585648148148151E-4</v>
      </c>
      <c r="O33" s="3">
        <f>IF(Table127[[#This Row],[run2 times]]="",999.99,IF(Table127[[#This Row],[run2 times]]=$T$3,0,MAX(0,ROUND(((Table127[[#This Row],[run2 times]]-$T$3)/$T$3)*$S$6,2))))</f>
        <v>237.24</v>
      </c>
      <c r="P33" s="2">
        <f>IF(OR(Table127[[#This Row],[run 1 times]]="",Table127[[#This Row],[run2 times]]=""),"",Table127[[#This Row],[run 1 times]]+Table127[[#This Row],[run2 times]])</f>
        <v>1.4560185185185186E-3</v>
      </c>
      <c r="Q33" s="3">
        <f>IF(Table127[[#This Row],[total time]]="",999.99,IF(Table127[[#This Row],[total time]]=$U$3,0,MAX(0,ROUND(((Table127[[#This Row],[total time]]-$U$3)/$U$3)*$S$6,2))))</f>
        <v>249.14</v>
      </c>
    </row>
    <row r="34" spans="1:17" x14ac:dyDescent="0.3">
      <c r="A34">
        <v>20</v>
      </c>
      <c r="B34">
        <v>120</v>
      </c>
      <c r="C34" t="s">
        <v>373</v>
      </c>
      <c r="D34" t="s">
        <v>522</v>
      </c>
      <c r="E34" t="s">
        <v>683</v>
      </c>
      <c r="F34">
        <v>2013</v>
      </c>
      <c r="G34" s="1">
        <v>8.6898148148148143E-4</v>
      </c>
      <c r="H34" s="1">
        <v>8.8136574074074083E-4</v>
      </c>
      <c r="I34" s="1">
        <v>1.7503472222222221E-3</v>
      </c>
      <c r="K34">
        <v>107172</v>
      </c>
      <c r="L34" s="2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8.6898148148148143E-4</v>
      </c>
      <c r="M34" s="3">
        <f>IF(Table127[[#This Row],[run 1 times]]="",999.99,IF(Table127[[#This Row],[run 1 times]]=$S$3,0,MAX(0,ROUND(((Table127[[#This Row],[run 1 times]]-$S$3)/$S$3)*$S$6,2))))</f>
        <v>519.91</v>
      </c>
      <c r="N34" s="2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8.8136574074074083E-4</v>
      </c>
      <c r="O34" s="3">
        <f>IF(Table127[[#This Row],[run2 times]]="",999.99,IF(Table127[[#This Row],[run2 times]]=$T$3,0,MAX(0,ROUND(((Table127[[#This Row],[run2 times]]-$T$3)/$T$3)*$S$6,2))))</f>
        <v>383.13</v>
      </c>
      <c r="P34" s="2">
        <f>IF(OR(Table127[[#This Row],[run 1 times]]="",Table127[[#This Row],[run2 times]]=""),"",Table127[[#This Row],[run 1 times]]+Table127[[#This Row],[run2 times]])</f>
        <v>1.7503472222222221E-3</v>
      </c>
      <c r="Q34" s="3">
        <f>IF(Table127[[#This Row],[total time]]="",999.99,IF(Table127[[#This Row],[total time]]=$U$3,0,MAX(0,ROUND(((Table127[[#This Row],[total time]]-$U$3)/$U$3)*$S$6,2))))</f>
        <v>447.08</v>
      </c>
    </row>
    <row r="35" spans="1:17" x14ac:dyDescent="0.3">
      <c r="A35">
        <v>46</v>
      </c>
      <c r="B35">
        <v>146</v>
      </c>
      <c r="C35" t="s">
        <v>373</v>
      </c>
      <c r="D35" t="s">
        <v>522</v>
      </c>
      <c r="E35" t="s">
        <v>684</v>
      </c>
      <c r="F35">
        <v>2013</v>
      </c>
      <c r="G35" s="1">
        <v>8.4837962962962959E-4</v>
      </c>
      <c r="H35" s="1">
        <v>8.8252314814814812E-4</v>
      </c>
      <c r="I35" s="1">
        <v>1.7309027777777778E-3</v>
      </c>
      <c r="K35">
        <v>106162</v>
      </c>
      <c r="L35" s="2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8.4837962962962959E-4</v>
      </c>
      <c r="M35" s="3">
        <f>IF(Table127[[#This Row],[run 1 times]]="",999.99,IF(Table127[[#This Row],[run 1 times]]=$S$3,0,MAX(0,ROUND(((Table127[[#This Row],[run 1 times]]-$S$3)/$S$3)*$S$6,2))))</f>
        <v>490.27</v>
      </c>
      <c r="N35" s="2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8.8252314814814812E-4</v>
      </c>
      <c r="O35" s="3">
        <f>IF(Table127[[#This Row],[run2 times]]="",999.99,IF(Table127[[#This Row],[run2 times]]=$T$3,0,MAX(0,ROUND(((Table127[[#This Row],[run2 times]]-$T$3)/$T$3)*$S$6,2))))</f>
        <v>384.59</v>
      </c>
      <c r="P35" s="2">
        <f>IF(OR(Table127[[#This Row],[run 1 times]]="",Table127[[#This Row],[run2 times]]=""),"",Table127[[#This Row],[run 1 times]]+Table127[[#This Row],[run2 times]])</f>
        <v>1.7309027777777778E-3</v>
      </c>
      <c r="Q35" s="3">
        <f>IF(Table127[[#This Row],[total time]]="",999.99,IF(Table127[[#This Row],[total time]]=$U$3,0,MAX(0,ROUND(((Table127[[#This Row],[total time]]-$U$3)/$U$3)*$S$6,2))))</f>
        <v>434</v>
      </c>
    </row>
    <row r="36" spans="1:17" x14ac:dyDescent="0.3">
      <c r="A36">
        <v>31</v>
      </c>
      <c r="B36">
        <v>131</v>
      </c>
      <c r="C36" t="s">
        <v>24</v>
      </c>
      <c r="D36" t="s">
        <v>522</v>
      </c>
      <c r="E36" t="s">
        <v>685</v>
      </c>
      <c r="F36">
        <v>2012</v>
      </c>
      <c r="G36" s="1" t="s">
        <v>512</v>
      </c>
      <c r="H36" s="1">
        <v>9.1226851851851842E-4</v>
      </c>
      <c r="I36" s="1"/>
      <c r="K36">
        <v>108668</v>
      </c>
      <c r="L36" s="2" t="str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36" s="3">
        <f>IF(Table127[[#This Row],[run 1 times]]="",999.99,IF(Table127[[#This Row],[run 1 times]]=$S$3,0,MAX(0,ROUND(((Table127[[#This Row],[run 1 times]]-$S$3)/$S$3)*$S$6,2))))</f>
        <v>999.99</v>
      </c>
      <c r="N36" s="2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9.1226851851851842E-4</v>
      </c>
      <c r="O36" s="3">
        <f>IF(Table127[[#This Row],[run2 times]]="",999.99,IF(Table127[[#This Row],[run2 times]]=$T$3,0,MAX(0,ROUND(((Table127[[#This Row],[run2 times]]-$T$3)/$T$3)*$S$6,2))))</f>
        <v>422.15</v>
      </c>
      <c r="P36" s="2" t="str">
        <f>IF(OR(Table127[[#This Row],[run 1 times]]="",Table127[[#This Row],[run2 times]]=""),"",Table127[[#This Row],[run 1 times]]+Table127[[#This Row],[run2 times]])</f>
        <v/>
      </c>
      <c r="Q36" s="3">
        <f>IF(Table127[[#This Row],[total time]]="",999.99,IF(Table127[[#This Row],[total time]]=$U$3,0,MAX(0,ROUND(((Table127[[#This Row],[total time]]-$U$3)/$U$3)*$S$6,2))))</f>
        <v>999.99</v>
      </c>
    </row>
    <row r="37" spans="1:17" x14ac:dyDescent="0.3">
      <c r="A37">
        <v>43</v>
      </c>
      <c r="B37">
        <v>143</v>
      </c>
      <c r="C37" t="s">
        <v>24</v>
      </c>
      <c r="D37" t="s">
        <v>522</v>
      </c>
      <c r="E37" t="s">
        <v>691</v>
      </c>
      <c r="F37">
        <v>2013</v>
      </c>
      <c r="G37" s="1" t="s">
        <v>518</v>
      </c>
      <c r="H37" s="1" t="s">
        <v>512</v>
      </c>
      <c r="I37" s="1"/>
      <c r="K37">
        <v>102827</v>
      </c>
      <c r="L37" s="2" t="str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37" s="3">
        <f>IF(Table127[[#This Row],[run 1 times]]="",999.99,IF(Table127[[#This Row],[run 1 times]]=$S$3,0,MAX(0,ROUND(((Table127[[#This Row],[run 1 times]]-$S$3)/$S$3)*$S$6,2))))</f>
        <v>999.99</v>
      </c>
      <c r="N37" s="2" t="str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37" s="3">
        <f>IF(Table127[[#This Row],[run2 times]]="",999.99,IF(Table127[[#This Row],[run2 times]]=$T$3,0,MAX(0,ROUND(((Table127[[#This Row],[run2 times]]-$T$3)/$T$3)*$S$6,2))))</f>
        <v>999.99</v>
      </c>
      <c r="P37" s="2" t="str">
        <f>IF(OR(Table127[[#This Row],[run 1 times]]="",Table127[[#This Row],[run2 times]]=""),"",Table127[[#This Row],[run 1 times]]+Table127[[#This Row],[run2 times]])</f>
        <v/>
      </c>
      <c r="Q37" s="3">
        <f>IF(Table127[[#This Row],[total time]]="",999.99,IF(Table127[[#This Row],[total time]]=$U$3,0,MAX(0,ROUND(((Table127[[#This Row],[total time]]-$U$3)/$U$3)*$S$6,2))))</f>
        <v>999.99</v>
      </c>
    </row>
    <row r="38" spans="1:17" x14ac:dyDescent="0.3">
      <c r="A38">
        <v>29</v>
      </c>
      <c r="B38">
        <v>129</v>
      </c>
      <c r="C38" t="s">
        <v>487</v>
      </c>
      <c r="D38" t="s">
        <v>522</v>
      </c>
      <c r="E38" t="s">
        <v>697</v>
      </c>
      <c r="F38">
        <v>2013</v>
      </c>
      <c r="G38" s="1" t="s">
        <v>512</v>
      </c>
      <c r="H38" s="1" t="s">
        <v>512</v>
      </c>
      <c r="I38" s="1"/>
      <c r="K38">
        <v>121019</v>
      </c>
      <c r="L38" s="2" t="str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38" s="3">
        <f>IF(Table127[[#This Row],[run 1 times]]="",999.99,IF(Table127[[#This Row],[run 1 times]]=$S$3,0,MAX(0,ROUND(((Table127[[#This Row],[run 1 times]]-$S$3)/$S$3)*$S$6,2))))</f>
        <v>999.99</v>
      </c>
      <c r="N38" s="2" t="str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38" s="3">
        <f>IF(Table127[[#This Row],[run2 times]]="",999.99,IF(Table127[[#This Row],[run2 times]]=$T$3,0,MAX(0,ROUND(((Table127[[#This Row],[run2 times]]-$T$3)/$T$3)*$S$6,2))))</f>
        <v>999.99</v>
      </c>
      <c r="P38" s="2" t="str">
        <f>IF(OR(Table127[[#This Row],[run 1 times]]="",Table127[[#This Row],[run2 times]]=""),"",Table127[[#This Row],[run 1 times]]+Table127[[#This Row],[run2 times]])</f>
        <v/>
      </c>
      <c r="Q38" s="3">
        <f>IF(Table127[[#This Row],[total time]]="",999.99,IF(Table127[[#This Row],[total time]]=$U$3,0,MAX(0,ROUND(((Table127[[#This Row],[total time]]-$U$3)/$U$3)*$S$6,2))))</f>
        <v>999.99</v>
      </c>
    </row>
    <row r="39" spans="1:17" x14ac:dyDescent="0.3">
      <c r="A39">
        <v>26</v>
      </c>
      <c r="B39">
        <v>126</v>
      </c>
      <c r="C39" t="s">
        <v>257</v>
      </c>
      <c r="D39" t="s">
        <v>522</v>
      </c>
      <c r="E39" t="s">
        <v>698</v>
      </c>
      <c r="F39">
        <v>2012</v>
      </c>
      <c r="G39" s="1">
        <v>57.68</v>
      </c>
      <c r="H39" s="1" t="s">
        <v>512</v>
      </c>
      <c r="I39" s="1"/>
      <c r="K39">
        <v>102726</v>
      </c>
      <c r="L39" s="2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6.6759259259259256E-4</v>
      </c>
      <c r="M39" s="3">
        <f>IF(Table127[[#This Row],[run 1 times]]="",999.99,IF(Table127[[#This Row],[run 1 times]]=$S$3,0,MAX(0,ROUND(((Table127[[#This Row],[run 1 times]]-$S$3)/$S$3)*$S$6,2))))</f>
        <v>230.24</v>
      </c>
      <c r="N39" s="2" t="str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39" s="3">
        <f>IF(Table127[[#This Row],[run2 times]]="",999.99,IF(Table127[[#This Row],[run2 times]]=$T$3,0,MAX(0,ROUND(((Table127[[#This Row],[run2 times]]-$T$3)/$T$3)*$S$6,2))))</f>
        <v>999.99</v>
      </c>
      <c r="P39" s="2" t="str">
        <f>IF(OR(Table127[[#This Row],[run 1 times]]="",Table127[[#This Row],[run2 times]]=""),"",Table127[[#This Row],[run 1 times]]+Table127[[#This Row],[run2 times]])</f>
        <v/>
      </c>
      <c r="Q39" s="3">
        <f>IF(Table127[[#This Row],[total time]]="",999.99,IF(Table127[[#This Row],[total time]]=$U$3,0,MAX(0,ROUND(((Table127[[#This Row],[total time]]-$U$3)/$U$3)*$S$6,2))))</f>
        <v>999.99</v>
      </c>
    </row>
    <row r="40" spans="1:17" x14ac:dyDescent="0.3">
      <c r="A40">
        <v>25</v>
      </c>
      <c r="B40">
        <v>125</v>
      </c>
      <c r="C40" t="s">
        <v>487</v>
      </c>
      <c r="D40" t="s">
        <v>522</v>
      </c>
      <c r="E40" t="s">
        <v>699</v>
      </c>
      <c r="F40">
        <v>2012</v>
      </c>
      <c r="G40" s="1" t="s">
        <v>512</v>
      </c>
      <c r="H40" s="1" t="s">
        <v>512</v>
      </c>
      <c r="I40" s="1"/>
      <c r="K40">
        <v>102437</v>
      </c>
      <c r="L40" s="2" t="str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40" s="3">
        <f>IF(Table127[[#This Row],[run 1 times]]="",999.99,IF(Table127[[#This Row],[run 1 times]]=$S$3,0,MAX(0,ROUND(((Table127[[#This Row],[run 1 times]]-$S$3)/$S$3)*$S$6,2))))</f>
        <v>999.99</v>
      </c>
      <c r="N40" s="2" t="str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40" s="3">
        <f>IF(Table127[[#This Row],[run2 times]]="",999.99,IF(Table127[[#This Row],[run2 times]]=$T$3,0,MAX(0,ROUND(((Table127[[#This Row],[run2 times]]-$T$3)/$T$3)*$S$6,2))))</f>
        <v>999.99</v>
      </c>
      <c r="P40" s="2" t="str">
        <f>IF(OR(Table127[[#This Row],[run 1 times]]="",Table127[[#This Row],[run2 times]]=""),"",Table127[[#This Row],[run 1 times]]+Table127[[#This Row],[run2 times]])</f>
        <v/>
      </c>
      <c r="Q40" s="3">
        <f>IF(Table127[[#This Row],[total time]]="",999.99,IF(Table127[[#This Row],[total time]]=$U$3,0,MAX(0,ROUND(((Table127[[#This Row],[total time]]-$U$3)/$U$3)*$S$6,2))))</f>
        <v>999.99</v>
      </c>
    </row>
    <row r="41" spans="1:17" x14ac:dyDescent="0.3">
      <c r="A41">
        <v>22</v>
      </c>
      <c r="B41">
        <v>122</v>
      </c>
      <c r="C41" t="s">
        <v>479</v>
      </c>
      <c r="D41" t="s">
        <v>522</v>
      </c>
      <c r="E41" t="s">
        <v>700</v>
      </c>
      <c r="F41">
        <v>2013</v>
      </c>
      <c r="G41" s="1">
        <v>51.75</v>
      </c>
      <c r="H41" s="1" t="s">
        <v>512</v>
      </c>
      <c r="I41" s="1"/>
      <c r="K41">
        <v>101432</v>
      </c>
      <c r="L41" s="2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5.9895833333333329E-4</v>
      </c>
      <c r="M41" s="3">
        <f>IF(Table127[[#This Row],[run 1 times]]="",999.99,IF(Table127[[#This Row],[run 1 times]]=$S$3,0,MAX(0,ROUND(((Table127[[#This Row],[run 1 times]]-$S$3)/$S$3)*$S$6,2))))</f>
        <v>131.52000000000001</v>
      </c>
      <c r="N41" s="2" t="str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41" s="3">
        <f>IF(Table127[[#This Row],[run2 times]]="",999.99,IF(Table127[[#This Row],[run2 times]]=$T$3,0,MAX(0,ROUND(((Table127[[#This Row],[run2 times]]-$T$3)/$T$3)*$S$6,2))))</f>
        <v>999.99</v>
      </c>
      <c r="P41" s="2" t="str">
        <f>IF(OR(Table127[[#This Row],[run 1 times]]="",Table127[[#This Row],[run2 times]]=""),"",Table127[[#This Row],[run 1 times]]+Table127[[#This Row],[run2 times]])</f>
        <v/>
      </c>
      <c r="Q41" s="3">
        <f>IF(Table127[[#This Row],[total time]]="",999.99,IF(Table127[[#This Row],[total time]]=$U$3,0,MAX(0,ROUND(((Table127[[#This Row],[total time]]-$U$3)/$U$3)*$S$6,2))))</f>
        <v>999.99</v>
      </c>
    </row>
    <row r="42" spans="1:17" x14ac:dyDescent="0.3">
      <c r="A42">
        <v>18</v>
      </c>
      <c r="B42">
        <v>118</v>
      </c>
      <c r="C42" t="s">
        <v>479</v>
      </c>
      <c r="D42" t="s">
        <v>522</v>
      </c>
      <c r="E42" t="s">
        <v>702</v>
      </c>
      <c r="F42">
        <v>2013</v>
      </c>
      <c r="G42" s="1">
        <v>44.4</v>
      </c>
      <c r="H42" s="1" t="s">
        <v>512</v>
      </c>
      <c r="I42" s="1"/>
      <c r="K42">
        <v>101422</v>
      </c>
      <c r="L42" s="2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5.1388888888888892E-4</v>
      </c>
      <c r="M42" s="3">
        <f>IF(Table127[[#This Row],[run 1 times]]="",999.99,IF(Table127[[#This Row],[run 1 times]]=$S$3,0,MAX(0,ROUND(((Table127[[#This Row],[run 1 times]]-$S$3)/$S$3)*$S$6,2))))</f>
        <v>9.16</v>
      </c>
      <c r="N42" s="2" t="str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42" s="3">
        <f>IF(Table127[[#This Row],[run2 times]]="",999.99,IF(Table127[[#This Row],[run2 times]]=$T$3,0,MAX(0,ROUND(((Table127[[#This Row],[run2 times]]-$T$3)/$T$3)*$S$6,2))))</f>
        <v>999.99</v>
      </c>
      <c r="P42" s="2" t="str">
        <f>IF(OR(Table127[[#This Row],[run 1 times]]="",Table127[[#This Row],[run2 times]]=""),"",Table127[[#This Row],[run 1 times]]+Table127[[#This Row],[run2 times]])</f>
        <v/>
      </c>
      <c r="Q42" s="3">
        <f>IF(Table127[[#This Row],[total time]]="",999.99,IF(Table127[[#This Row],[total time]]=$U$3,0,MAX(0,ROUND(((Table127[[#This Row],[total time]]-$U$3)/$U$3)*$S$6,2))))</f>
        <v>999.99</v>
      </c>
    </row>
    <row r="43" spans="1:17" x14ac:dyDescent="0.3">
      <c r="A43">
        <v>16</v>
      </c>
      <c r="B43">
        <v>116</v>
      </c>
      <c r="C43" t="s">
        <v>487</v>
      </c>
      <c r="D43" t="s">
        <v>522</v>
      </c>
      <c r="E43" t="s">
        <v>703</v>
      </c>
      <c r="F43">
        <v>2012</v>
      </c>
      <c r="G43" s="1" t="s">
        <v>512</v>
      </c>
      <c r="H43" s="1" t="s">
        <v>512</v>
      </c>
      <c r="I43" s="1"/>
      <c r="K43">
        <v>112944</v>
      </c>
      <c r="L43" s="2" t="str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43" s="3">
        <f>IF(Table127[[#This Row],[run 1 times]]="",999.99,IF(Table127[[#This Row],[run 1 times]]=$S$3,0,MAX(0,ROUND(((Table127[[#This Row],[run 1 times]]-$S$3)/$S$3)*$S$6,2))))</f>
        <v>999.99</v>
      </c>
      <c r="N43" s="2" t="str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43" s="3">
        <f>IF(Table127[[#This Row],[run2 times]]="",999.99,IF(Table127[[#This Row],[run2 times]]=$T$3,0,MAX(0,ROUND(((Table127[[#This Row],[run2 times]]-$T$3)/$T$3)*$S$6,2))))</f>
        <v>999.99</v>
      </c>
      <c r="P43" s="2" t="str">
        <f>IF(OR(Table127[[#This Row],[run 1 times]]="",Table127[[#This Row],[run2 times]]=""),"",Table127[[#This Row],[run 1 times]]+Table127[[#This Row],[run2 times]])</f>
        <v/>
      </c>
      <c r="Q43" s="3">
        <f>IF(Table127[[#This Row],[total time]]="",999.99,IF(Table127[[#This Row],[total time]]=$U$3,0,MAX(0,ROUND(((Table127[[#This Row],[total time]]-$U$3)/$U$3)*$S$6,2))))</f>
        <v>999.99</v>
      </c>
    </row>
    <row r="44" spans="1:17" x14ac:dyDescent="0.3">
      <c r="A44">
        <v>14</v>
      </c>
      <c r="B44">
        <v>114</v>
      </c>
      <c r="C44" t="s">
        <v>487</v>
      </c>
      <c r="D44" t="s">
        <v>522</v>
      </c>
      <c r="E44" t="s">
        <v>704</v>
      </c>
      <c r="F44">
        <v>2013</v>
      </c>
      <c r="G44" s="1" t="s">
        <v>512</v>
      </c>
      <c r="H44" s="1" t="s">
        <v>512</v>
      </c>
      <c r="I44" s="1"/>
      <c r="K44">
        <v>109532</v>
      </c>
      <c r="L44" s="2" t="str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44" s="3">
        <f>IF(Table127[[#This Row],[run 1 times]]="",999.99,IF(Table127[[#This Row],[run 1 times]]=$S$3,0,MAX(0,ROUND(((Table127[[#This Row],[run 1 times]]-$S$3)/$S$3)*$S$6,2))))</f>
        <v>999.99</v>
      </c>
      <c r="N44" s="2" t="str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44" s="3">
        <f>IF(Table127[[#This Row],[run2 times]]="",999.99,IF(Table127[[#This Row],[run2 times]]=$T$3,0,MAX(0,ROUND(((Table127[[#This Row],[run2 times]]-$T$3)/$T$3)*$S$6,2))))</f>
        <v>999.99</v>
      </c>
      <c r="P44" s="2" t="str">
        <f>IF(OR(Table127[[#This Row],[run 1 times]]="",Table127[[#This Row],[run2 times]]=""),"",Table127[[#This Row],[run 1 times]]+Table127[[#This Row],[run2 times]])</f>
        <v/>
      </c>
      <c r="Q44" s="3">
        <f>IF(Table127[[#This Row],[total time]]="",999.99,IF(Table127[[#This Row],[total time]]=$U$3,0,MAX(0,ROUND(((Table127[[#This Row],[total time]]-$U$3)/$U$3)*$S$6,2))))</f>
        <v>999.99</v>
      </c>
    </row>
    <row r="45" spans="1:17" x14ac:dyDescent="0.3">
      <c r="A45">
        <v>12</v>
      </c>
      <c r="B45">
        <v>112</v>
      </c>
      <c r="C45" t="s">
        <v>487</v>
      </c>
      <c r="D45" t="s">
        <v>522</v>
      </c>
      <c r="E45" t="s">
        <v>705</v>
      </c>
      <c r="F45">
        <v>2012</v>
      </c>
      <c r="G45" s="1" t="s">
        <v>512</v>
      </c>
      <c r="H45" s="1" t="s">
        <v>512</v>
      </c>
      <c r="I45" s="1"/>
      <c r="K45">
        <v>121018</v>
      </c>
      <c r="L45" s="2" t="str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45" s="3">
        <f>IF(Table127[[#This Row],[run 1 times]]="",999.99,IF(Table127[[#This Row],[run 1 times]]=$S$3,0,MAX(0,ROUND(((Table127[[#This Row],[run 1 times]]-$S$3)/$S$3)*$S$6,2))))</f>
        <v>999.99</v>
      </c>
      <c r="N45" s="2" t="str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45" s="3">
        <f>IF(Table127[[#This Row],[run2 times]]="",999.99,IF(Table127[[#This Row],[run2 times]]=$T$3,0,MAX(0,ROUND(((Table127[[#This Row],[run2 times]]-$T$3)/$T$3)*$S$6,2))))</f>
        <v>999.99</v>
      </c>
      <c r="P45" s="2" t="str">
        <f>IF(OR(Table127[[#This Row],[run 1 times]]="",Table127[[#This Row],[run2 times]]=""),"",Table127[[#This Row],[run 1 times]]+Table127[[#This Row],[run2 times]])</f>
        <v/>
      </c>
      <c r="Q45" s="3">
        <f>IF(Table127[[#This Row],[total time]]="",999.99,IF(Table127[[#This Row],[total time]]=$U$3,0,MAX(0,ROUND(((Table127[[#This Row],[total time]]-$U$3)/$U$3)*$S$6,2))))</f>
        <v>999.99</v>
      </c>
    </row>
    <row r="46" spans="1:17" x14ac:dyDescent="0.3">
      <c r="A46">
        <v>7</v>
      </c>
      <c r="B46">
        <v>107</v>
      </c>
      <c r="C46" t="s">
        <v>257</v>
      </c>
      <c r="D46" t="s">
        <v>522</v>
      </c>
      <c r="E46" t="s">
        <v>708</v>
      </c>
      <c r="F46">
        <v>2013</v>
      </c>
      <c r="G46" s="1">
        <v>7.4710648148148141E-4</v>
      </c>
      <c r="H46" s="1" t="s">
        <v>512</v>
      </c>
      <c r="I46" s="1"/>
      <c r="K46">
        <v>120663</v>
      </c>
      <c r="L46" s="2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7.4710648148148141E-4</v>
      </c>
      <c r="M46" s="3">
        <f>IF(Table127[[#This Row],[run 1 times]]="",999.99,IF(Table127[[#This Row],[run 1 times]]=$S$3,0,MAX(0,ROUND(((Table127[[#This Row],[run 1 times]]-$S$3)/$S$3)*$S$6,2))))</f>
        <v>344.61</v>
      </c>
      <c r="N46" s="2" t="str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46" s="3">
        <f>IF(Table127[[#This Row],[run2 times]]="",999.99,IF(Table127[[#This Row],[run2 times]]=$T$3,0,MAX(0,ROUND(((Table127[[#This Row],[run2 times]]-$T$3)/$T$3)*$S$6,2))))</f>
        <v>999.99</v>
      </c>
      <c r="P46" s="2" t="str">
        <f>IF(OR(Table127[[#This Row],[run 1 times]]="",Table127[[#This Row],[run2 times]]=""),"",Table127[[#This Row],[run 1 times]]+Table127[[#This Row],[run2 times]])</f>
        <v/>
      </c>
      <c r="Q46" s="3">
        <f>IF(Table127[[#This Row],[total time]]="",999.99,IF(Table127[[#This Row],[total time]]=$U$3,0,MAX(0,ROUND(((Table127[[#This Row],[total time]]-$U$3)/$U$3)*$S$6,2))))</f>
        <v>999.99</v>
      </c>
    </row>
    <row r="47" spans="1:17" x14ac:dyDescent="0.3">
      <c r="A47">
        <v>47</v>
      </c>
      <c r="B47">
        <v>147</v>
      </c>
      <c r="C47" t="s">
        <v>257</v>
      </c>
      <c r="D47" t="s">
        <v>522</v>
      </c>
      <c r="E47" t="s">
        <v>709</v>
      </c>
      <c r="F47">
        <v>2012</v>
      </c>
      <c r="G47" s="1">
        <v>45.63</v>
      </c>
      <c r="H47" s="1" t="s">
        <v>518</v>
      </c>
      <c r="I47" s="1"/>
      <c r="K47">
        <v>107305</v>
      </c>
      <c r="L47" s="2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5.2812500000000006E-4</v>
      </c>
      <c r="M47" s="3">
        <f>IF(Table127[[#This Row],[run 1 times]]="",999.99,IF(Table127[[#This Row],[run 1 times]]=$S$3,0,MAX(0,ROUND(((Table127[[#This Row],[run 1 times]]-$S$3)/$S$3)*$S$6,2))))</f>
        <v>29.63</v>
      </c>
      <c r="N47" s="2" t="str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47" s="3">
        <f>IF(Table127[[#This Row],[run2 times]]="",999.99,IF(Table127[[#This Row],[run2 times]]=$T$3,0,MAX(0,ROUND(((Table127[[#This Row],[run2 times]]-$T$3)/$T$3)*$S$6,2))))</f>
        <v>999.99</v>
      </c>
      <c r="P47" s="2" t="str">
        <f>IF(OR(Table127[[#This Row],[run 1 times]]="",Table127[[#This Row],[run2 times]]=""),"",Table127[[#This Row],[run 1 times]]+Table127[[#This Row],[run2 times]])</f>
        <v/>
      </c>
      <c r="Q47" s="3">
        <f>IF(Table127[[#This Row],[total time]]="",999.99,IF(Table127[[#This Row],[total time]]=$U$3,0,MAX(0,ROUND(((Table127[[#This Row],[total time]]-$U$3)/$U$3)*$S$6,2))))</f>
        <v>999.99</v>
      </c>
    </row>
    <row r="48" spans="1:17" x14ac:dyDescent="0.3">
      <c r="A48">
        <v>21</v>
      </c>
      <c r="B48">
        <v>121</v>
      </c>
      <c r="C48" t="s">
        <v>257</v>
      </c>
      <c r="D48" t="s">
        <v>522</v>
      </c>
      <c r="E48" t="s">
        <v>712</v>
      </c>
      <c r="F48">
        <v>2012</v>
      </c>
      <c r="G48" s="1">
        <v>54.46</v>
      </c>
      <c r="H48" s="1" t="s">
        <v>518</v>
      </c>
      <c r="I48" s="1"/>
      <c r="K48">
        <v>117686</v>
      </c>
      <c r="L48" s="2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6.3032407407407405E-4</v>
      </c>
      <c r="M48" s="3">
        <f>IF(Table127[[#This Row],[run 1 times]]="",999.99,IF(Table127[[#This Row],[run 1 times]]=$S$3,0,MAX(0,ROUND(((Table127[[#This Row],[run 1 times]]-$S$3)/$S$3)*$S$6,2))))</f>
        <v>176.63</v>
      </c>
      <c r="N48" s="2" t="str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48" s="3">
        <f>IF(Table127[[#This Row],[run2 times]]="",999.99,IF(Table127[[#This Row],[run2 times]]=$T$3,0,MAX(0,ROUND(((Table127[[#This Row],[run2 times]]-$T$3)/$T$3)*$S$6,2))))</f>
        <v>999.99</v>
      </c>
      <c r="P48" s="2" t="str">
        <f>IF(OR(Table127[[#This Row],[run 1 times]]="",Table127[[#This Row],[run2 times]]=""),"",Table127[[#This Row],[run 1 times]]+Table127[[#This Row],[run2 times]])</f>
        <v/>
      </c>
      <c r="Q48" s="3">
        <f>IF(Table127[[#This Row],[total time]]="",999.99,IF(Table127[[#This Row],[total time]]=$U$3,0,MAX(0,ROUND(((Table127[[#This Row],[total time]]-$U$3)/$U$3)*$S$6,2))))</f>
        <v>999.99</v>
      </c>
    </row>
    <row r="49" spans="1:17" x14ac:dyDescent="0.3">
      <c r="A49">
        <v>2</v>
      </c>
      <c r="B49">
        <v>102</v>
      </c>
      <c r="C49" t="s">
        <v>487</v>
      </c>
      <c r="D49" t="s">
        <v>522</v>
      </c>
      <c r="E49" t="s">
        <v>714</v>
      </c>
      <c r="F49">
        <v>2013</v>
      </c>
      <c r="G49" s="1" t="s">
        <v>512</v>
      </c>
      <c r="H49" s="1" t="s">
        <v>518</v>
      </c>
      <c r="I49" s="1"/>
      <c r="K49">
        <v>109533</v>
      </c>
      <c r="L49" s="2" t="str">
        <f>_xlfn.LET(_xlpm.x,Table127[[#This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49" s="3">
        <f>IF(Table127[[#This Row],[run 1 times]]="",999.99,IF(Table127[[#This Row],[run 1 times]]=$S$3,0,MAX(0,ROUND(((Table127[[#This Row],[run 1 times]]-$S$3)/$S$3)*$S$6,2))))</f>
        <v>999.99</v>
      </c>
      <c r="N49" s="2" t="str">
        <f>_xlfn.LET(_xlpm.x,Table127[[#This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49" s="3">
        <f>IF(Table127[[#This Row],[run2 times]]="",999.99,IF(Table127[[#This Row],[run2 times]]=$T$3,0,MAX(0,ROUND(((Table127[[#This Row],[run2 times]]-$T$3)/$T$3)*$S$6,2))))</f>
        <v>999.99</v>
      </c>
      <c r="P49" s="2" t="str">
        <f>IF(OR(Table127[[#This Row],[run 1 times]]="",Table127[[#This Row],[run2 times]]=""),"",Table127[[#This Row],[run 1 times]]+Table127[[#This Row],[run2 times]])</f>
        <v/>
      </c>
      <c r="Q49" s="3">
        <f>IF(Table127[[#This Row],[total time]]="",999.99,IF(Table127[[#This Row],[total time]]=$U$3,0,MAX(0,ROUND(((Table127[[#This Row],[total time]]-$U$3)/$U$3)*$S$6,2))))</f>
        <v>999.99</v>
      </c>
    </row>
  </sheetData>
  <mergeCells count="2">
    <mergeCell ref="A1:U1"/>
    <mergeCell ref="W1:AQ1"/>
  </mergeCells>
  <pageMargins left="0.7" right="0.7" top="0.75" bottom="0.75" header="0.3" footer="0.3"/>
  <tableParts count="6">
    <tablePart r:id="rId1"/>
    <tablePart r:id="rId2"/>
    <tablePart r:id="rId3"/>
    <tablePart r:id="rId4"/>
    <tablePart r:id="rId5"/>
    <tablePart r:id="rId6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81B71-1C93-4841-8CD1-B72EF6AABB06}">
  <dimension ref="A1:AQ58"/>
  <sheetViews>
    <sheetView topLeftCell="U1" workbookViewId="0">
      <selection activeCell="W1" sqref="W1:AQ1"/>
    </sheetView>
  </sheetViews>
  <sheetFormatPr defaultRowHeight="14.4" x14ac:dyDescent="0.3"/>
  <cols>
    <col min="1" max="1" width="13.5546875" customWidth="1"/>
    <col min="3" max="3" width="12.109375" customWidth="1"/>
    <col min="5" max="5" width="14.88671875" bestFit="1" customWidth="1"/>
    <col min="6" max="6" width="12.5546875" customWidth="1"/>
    <col min="7" max="7" width="15.21875" customWidth="1"/>
    <col min="8" max="8" width="17.6640625" customWidth="1"/>
    <col min="9" max="9" width="16.44140625" customWidth="1"/>
    <col min="10" max="10" width="12.21875" customWidth="1"/>
    <col min="11" max="11" width="13.109375" customWidth="1"/>
    <col min="12" max="12" width="11.6640625" customWidth="1"/>
    <col min="13" max="13" width="12.109375" customWidth="1"/>
    <col min="14" max="14" width="11.33203125" customWidth="1"/>
    <col min="15" max="15" width="12.109375" customWidth="1"/>
    <col min="16" max="16" width="10.33203125" customWidth="1"/>
    <col min="17" max="17" width="13.88671875" customWidth="1"/>
    <col min="19" max="19" width="14.5546875" customWidth="1"/>
    <col min="20" max="20" width="15.5546875" customWidth="1"/>
    <col min="21" max="21" width="18.5546875" customWidth="1"/>
  </cols>
  <sheetData>
    <row r="1" spans="1:43" ht="21" x14ac:dyDescent="0.4">
      <c r="A1" s="8" t="s">
        <v>491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W1" s="8" t="s">
        <v>492</v>
      </c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</row>
    <row r="2" spans="1:43" x14ac:dyDescent="0.3">
      <c r="A2" t="s">
        <v>459</v>
      </c>
      <c r="B2" t="s">
        <v>460</v>
      </c>
      <c r="C2" t="s">
        <v>461</v>
      </c>
      <c r="D2" t="s">
        <v>462</v>
      </c>
      <c r="E2" t="s">
        <v>463</v>
      </c>
      <c r="F2" t="s">
        <v>464</v>
      </c>
      <c r="G2" t="s">
        <v>465</v>
      </c>
      <c r="H2" t="s">
        <v>466</v>
      </c>
      <c r="I2" t="s">
        <v>467</v>
      </c>
      <c r="J2" t="s">
        <v>468</v>
      </c>
      <c r="K2" t="s">
        <v>469</v>
      </c>
      <c r="L2" t="s">
        <v>470</v>
      </c>
      <c r="M2" t="s">
        <v>471</v>
      </c>
      <c r="N2" t="s">
        <v>472</v>
      </c>
      <c r="O2" t="s">
        <v>473</v>
      </c>
      <c r="P2" t="s">
        <v>474</v>
      </c>
      <c r="Q2" t="s">
        <v>475</v>
      </c>
      <c r="S2" t="s">
        <v>476</v>
      </c>
      <c r="T2" t="s">
        <v>477</v>
      </c>
      <c r="U2" t="s">
        <v>478</v>
      </c>
      <c r="W2" t="s">
        <v>459</v>
      </c>
      <c r="X2" t="s">
        <v>460</v>
      </c>
      <c r="Y2" t="s">
        <v>461</v>
      </c>
      <c r="Z2" t="s">
        <v>462</v>
      </c>
      <c r="AA2" t="s">
        <v>463</v>
      </c>
      <c r="AB2" t="s">
        <v>464</v>
      </c>
      <c r="AC2" t="s">
        <v>465</v>
      </c>
      <c r="AD2" t="s">
        <v>466</v>
      </c>
      <c r="AE2" t="s">
        <v>467</v>
      </c>
      <c r="AF2" t="s">
        <v>468</v>
      </c>
      <c r="AG2" t="s">
        <v>469</v>
      </c>
      <c r="AH2" t="s">
        <v>470</v>
      </c>
      <c r="AI2" t="s">
        <v>471</v>
      </c>
      <c r="AJ2" t="s">
        <v>472</v>
      </c>
      <c r="AK2" t="s">
        <v>473</v>
      </c>
      <c r="AL2" t="s">
        <v>474</v>
      </c>
      <c r="AM2" t="s">
        <v>475</v>
      </c>
      <c r="AO2" t="s">
        <v>476</v>
      </c>
      <c r="AP2" t="s">
        <v>477</v>
      </c>
      <c r="AQ2" t="s">
        <v>478</v>
      </c>
    </row>
    <row r="3" spans="1:43" x14ac:dyDescent="0.3">
      <c r="A3">
        <v>51</v>
      </c>
      <c r="B3">
        <v>23</v>
      </c>
      <c r="C3" t="s">
        <v>24</v>
      </c>
      <c r="D3" t="s">
        <v>522</v>
      </c>
      <c r="E3" t="s">
        <v>524</v>
      </c>
      <c r="F3">
        <v>2012</v>
      </c>
      <c r="G3" s="1">
        <v>46.44</v>
      </c>
      <c r="H3" s="1">
        <v>48.09</v>
      </c>
      <c r="I3" s="1">
        <v>1.0940972222222222E-3</v>
      </c>
      <c r="K3">
        <v>93755</v>
      </c>
      <c r="L3" s="2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5.375E-4</v>
      </c>
      <c r="M3" s="3">
        <f>IF(Table1225[[#This Row],[run 1 times]]="",999.99,IF(Table1225[[#This Row],[run 1 times]]=$S$3,0,MAX(0,ROUND(((Table1225[[#This Row],[run 1 times]]-$S$3)/$S$3)*$S$6,2))))</f>
        <v>0</v>
      </c>
      <c r="N3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5.5659722222222222E-4</v>
      </c>
      <c r="O3" s="3">
        <f>IF(Table1225[[#This Row],[run2 times]]="",999.99,IF(Table1225[[#This Row],[run2 times]]=$T$3,0,MAX(0,ROUND(((Table1225[[#This Row],[run2 times]]-$T$3)/$T$3)*$S$6,2))))</f>
        <v>0</v>
      </c>
      <c r="P3" s="2">
        <f>IF(OR(Table1225[[#This Row],[run 1 times]]="",Table1225[[#This Row],[run2 times]]=""),"",Table1225[[#This Row],[run 1 times]]+Table1225[[#This Row],[run2 times]])</f>
        <v>1.0940972222222222E-3</v>
      </c>
      <c r="Q3" s="3">
        <f>IF(Table1225[[#This Row],[total time]]="",999.99,IF(Table1225[[#This Row],[total time]]=$U$3,0,MAX(0,ROUND(((Table1225[[#This Row],[total time]]-$U$3)/$U$3)*$S$6,2))))</f>
        <v>0</v>
      </c>
      <c r="S3" s="1">
        <f>MIN(Table1225[run 1 times])</f>
        <v>5.375E-4</v>
      </c>
      <c r="T3" s="1">
        <f>MIN(Table1225[run2 times])</f>
        <v>5.5659722222222222E-4</v>
      </c>
      <c r="U3" s="1">
        <f>MIN(Table1225[total time])</f>
        <v>1.0940972222222222E-3</v>
      </c>
      <c r="W3">
        <v>10</v>
      </c>
      <c r="X3">
        <v>84</v>
      </c>
      <c r="Y3" t="s">
        <v>24</v>
      </c>
      <c r="Z3" t="s">
        <v>552</v>
      </c>
      <c r="AA3" t="s">
        <v>573</v>
      </c>
      <c r="AB3">
        <v>2008</v>
      </c>
      <c r="AC3" s="1">
        <v>50.94</v>
      </c>
      <c r="AD3" s="1">
        <v>46.89</v>
      </c>
      <c r="AE3" s="1">
        <v>1.1322916666666666E-3</v>
      </c>
      <c r="AG3">
        <v>87553</v>
      </c>
      <c r="AH3" s="2">
        <f>_xlfn.LET(_xlpm.x,Table122128[[#This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5.8958333333333334E-4</v>
      </c>
      <c r="AI3" s="3">
        <f>IF(Table122128[[#This Row],[run 1 times]]="",999.99,IF(Table122128[[#This Row],[run 1 times]]=$AO$3,0,MAX(0,ROUND(((Table122128[[#This Row],[run 1 times]]-$AO$3)/$AO$3)*$AO$6,2))))</f>
        <v>12.24</v>
      </c>
      <c r="AJ3" s="2">
        <f>_xlfn.LET(_xlpm.x,Table122128[[#This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5.427083333333333E-4</v>
      </c>
      <c r="AK3" s="3">
        <f>IF(Table122128[[#This Row],[run2 times]]="",999.99,IF(Table122128[[#This Row],[run2 times]]=$AP$3,0,MAX(0,ROUND(((Table122128[[#This Row],[run2 times]]-$AP$3)/$AP$3)*$AO$6,2))))</f>
        <v>46.18</v>
      </c>
      <c r="AL3" s="2">
        <f>IF(OR(Table122128[[#This Row],[run 1 times]]="",Table122128[[#This Row],[run2 times]]=""),"",Table122128[[#This Row],[run 1 times]]+Table122128[[#This Row],[run2 times]])</f>
        <v>1.1322916666666666E-3</v>
      </c>
      <c r="AM3" s="3">
        <f>IF(Table122128[[#This Row],[total time]]="",999.99,IF(Table122128[[#This Row],[total time]]=$AQ$3,0,MAX(0,ROUND(((Table122128[[#This Row],[total time]]-$AQ$3)/$AQ$3)*$AO$6,2))))</f>
        <v>24.69</v>
      </c>
      <c r="AO3" s="1">
        <f>MIN(Table122128[run 1 times])</f>
        <v>5.7986111111111118E-4</v>
      </c>
      <c r="AP3" s="1">
        <f>MIN(Table122128[run2 times])</f>
        <v>5.1041666666666672E-4</v>
      </c>
      <c r="AQ3" s="1">
        <f>MIN(Table122128[total time])</f>
        <v>1.0952546296296296E-3</v>
      </c>
    </row>
    <row r="4" spans="1:43" x14ac:dyDescent="0.3">
      <c r="A4">
        <v>30</v>
      </c>
      <c r="B4">
        <v>2</v>
      </c>
      <c r="C4" t="s">
        <v>479</v>
      </c>
      <c r="D4" t="s">
        <v>522</v>
      </c>
      <c r="E4" t="s">
        <v>523</v>
      </c>
      <c r="F4">
        <v>2012</v>
      </c>
      <c r="G4" s="1">
        <v>47.64</v>
      </c>
      <c r="H4" s="1">
        <v>48.62</v>
      </c>
      <c r="I4" s="1">
        <v>1.1141203703703704E-3</v>
      </c>
      <c r="K4">
        <v>94923</v>
      </c>
      <c r="L4" s="2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5.5138888888888891E-4</v>
      </c>
      <c r="M4" s="3">
        <f>IF(Table1225[[#This Row],[run 1 times]]="",999.99,IF(Table1225[[#This Row],[run 1 times]]=$S$3,0,MAX(0,ROUND(((Table1225[[#This Row],[run 1 times]]-$S$3)/$S$3)*$S$6,2))))</f>
        <v>18.86</v>
      </c>
      <c r="N4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5.6273148148148144E-4</v>
      </c>
      <c r="O4" s="3">
        <f>IF(Table1225[[#This Row],[run2 times]]="",999.99,IF(Table1225[[#This Row],[run2 times]]=$T$3,0,MAX(0,ROUND(((Table1225[[#This Row],[run2 times]]-$T$3)/$T$3)*$S$6,2))))</f>
        <v>8.0500000000000007</v>
      </c>
      <c r="P4" s="2">
        <f>IF(OR(Table1225[[#This Row],[run 1 times]]="",Table1225[[#This Row],[run2 times]]=""),"",Table1225[[#This Row],[run 1 times]]+Table1225[[#This Row],[run2 times]])</f>
        <v>1.1141203703703704E-3</v>
      </c>
      <c r="Q4" s="3">
        <f>IF(Table1225[[#This Row],[total time]]="",999.99,IF(Table1225[[#This Row],[total time]]=$U$3,0,MAX(0,ROUND(((Table1225[[#This Row],[total time]]-$U$3)/$U$3)*$S$6,2))))</f>
        <v>13.36</v>
      </c>
      <c r="W4">
        <v>17</v>
      </c>
      <c r="X4">
        <v>60</v>
      </c>
      <c r="Y4" t="s">
        <v>373</v>
      </c>
      <c r="Z4" t="s">
        <v>547</v>
      </c>
      <c r="AA4" t="s">
        <v>548</v>
      </c>
      <c r="AB4">
        <v>2011</v>
      </c>
      <c r="AC4" s="1" t="s">
        <v>512</v>
      </c>
      <c r="AD4" s="1">
        <v>50.9</v>
      </c>
      <c r="AE4" s="1"/>
      <c r="AG4">
        <v>94824</v>
      </c>
      <c r="AH4" s="2" t="str">
        <f>_xlfn.LET(_xlpm.x,Table122128[[#This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4" s="3">
        <f>IF(Table122128[[#This Row],[run 1 times]]="",999.99,IF(Table122128[[#This Row],[run 1 times]]=$AO$3,0,MAX(0,ROUND(((Table122128[[#This Row],[run 1 times]]-$AO$3)/$AO$3)*$AO$6,2))))</f>
        <v>999.99</v>
      </c>
      <c r="AJ4" s="2">
        <f>_xlfn.LET(_xlpm.x,Table122128[[#This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5.8912037037037038E-4</v>
      </c>
      <c r="AK4" s="3">
        <f>IF(Table122128[[#This Row],[run2 times]]="",999.99,IF(Table122128[[#This Row],[run2 times]]=$AP$3,0,MAX(0,ROUND(((Table122128[[#This Row],[run2 times]]-$AP$3)/$AP$3)*$AO$6,2))))</f>
        <v>112.56</v>
      </c>
      <c r="AL4" s="2" t="str">
        <f>IF(OR(Table122128[[#This Row],[run 1 times]]="",Table122128[[#This Row],[run2 times]]=""),"",Table122128[[#This Row],[run 1 times]]+Table122128[[#This Row],[run2 times]])</f>
        <v/>
      </c>
      <c r="AM4" s="3">
        <f>IF(Table122128[[#This Row],[total time]]="",999.99,IF(Table122128[[#This Row],[total time]]=$AQ$3,0,MAX(0,ROUND(((Table122128[[#This Row],[total time]]-$AQ$3)/$AQ$3)*$AO$6,2))))</f>
        <v>999.99</v>
      </c>
    </row>
    <row r="5" spans="1:43" x14ac:dyDescent="0.3">
      <c r="A5">
        <v>46</v>
      </c>
      <c r="B5">
        <v>18</v>
      </c>
      <c r="C5" t="s">
        <v>24</v>
      </c>
      <c r="D5" t="s">
        <v>522</v>
      </c>
      <c r="E5" t="s">
        <v>527</v>
      </c>
      <c r="F5">
        <v>2012</v>
      </c>
      <c r="G5" s="1">
        <v>49.19</v>
      </c>
      <c r="H5" s="1">
        <v>50.08</v>
      </c>
      <c r="I5" s="1">
        <v>1.1489583333333334E-3</v>
      </c>
      <c r="K5">
        <v>93762</v>
      </c>
      <c r="L5" s="2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5.6932870370370373E-4</v>
      </c>
      <c r="M5" s="3">
        <f>IF(Table1225[[#This Row],[run 1 times]]="",999.99,IF(Table1225[[#This Row],[run 1 times]]=$S$3,0,MAX(0,ROUND(((Table1225[[#This Row],[run 1 times]]-$S$3)/$S$3)*$S$6,2))))</f>
        <v>43.23</v>
      </c>
      <c r="N5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5.7962962962962959E-4</v>
      </c>
      <c r="O5" s="3">
        <f>IF(Table1225[[#This Row],[run2 times]]="",999.99,IF(Table1225[[#This Row],[run2 times]]=$T$3,0,MAX(0,ROUND(((Table1225[[#This Row],[run2 times]]-$T$3)/$T$3)*$S$6,2))))</f>
        <v>30.21</v>
      </c>
      <c r="P5" s="2">
        <f>IF(OR(Table1225[[#This Row],[run 1 times]]="",Table1225[[#This Row],[run2 times]]=""),"",Table1225[[#This Row],[run 1 times]]+Table1225[[#This Row],[run2 times]])</f>
        <v>1.1489583333333334E-3</v>
      </c>
      <c r="Q5" s="3">
        <f>IF(Table1225[[#This Row],[total time]]="",999.99,IF(Table1225[[#This Row],[total time]]=$U$3,0,MAX(0,ROUND(((Table1225[[#This Row],[total time]]-$U$3)/$U$3)*$S$6,2))))</f>
        <v>36.6</v>
      </c>
      <c r="S5" t="s">
        <v>484</v>
      </c>
      <c r="T5" t="s">
        <v>485</v>
      </c>
      <c r="U5" t="s">
        <v>486</v>
      </c>
      <c r="W5">
        <v>18</v>
      </c>
      <c r="X5">
        <v>61</v>
      </c>
      <c r="Y5" t="s">
        <v>479</v>
      </c>
      <c r="Z5" t="s">
        <v>547</v>
      </c>
      <c r="AA5" t="s">
        <v>549</v>
      </c>
      <c r="AB5">
        <v>2011</v>
      </c>
      <c r="AC5" s="1">
        <v>57.39</v>
      </c>
      <c r="AD5" s="1">
        <v>51.87</v>
      </c>
      <c r="AE5" s="1">
        <v>1.2645833333333333E-3</v>
      </c>
      <c r="AG5">
        <v>89879</v>
      </c>
      <c r="AH5" s="2">
        <f>_xlfn.LET(_xlpm.x,Table122128[[#This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6.642361111111111E-4</v>
      </c>
      <c r="AI5" s="3">
        <f>IF(Table122128[[#This Row],[run 1 times]]="",999.99,IF(Table122128[[#This Row],[run 1 times]]=$AO$3,0,MAX(0,ROUND(((Table122128[[#This Row],[run 1 times]]-$AO$3)/$AO$3)*$AO$6,2))))</f>
        <v>106.22</v>
      </c>
      <c r="AJ5" s="2">
        <f>_xlfn.LET(_xlpm.x,Table122128[[#This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6.0034722222222217E-4</v>
      </c>
      <c r="AK5" s="3">
        <f>IF(Table122128[[#This Row],[run2 times]]="",999.99,IF(Table122128[[#This Row],[run2 times]]=$AP$3,0,MAX(0,ROUND(((Table122128[[#This Row],[run2 times]]-$AP$3)/$AP$3)*$AO$6,2))))</f>
        <v>128.62</v>
      </c>
      <c r="AL5" s="2">
        <f>IF(OR(Table122128[[#This Row],[run 1 times]]="",Table122128[[#This Row],[run2 times]]=""),"",Table122128[[#This Row],[run 1 times]]+Table122128[[#This Row],[run2 times]])</f>
        <v>1.2645833333333333E-3</v>
      </c>
      <c r="AM5" s="3">
        <f>IF(Table122128[[#This Row],[total time]]="",999.99,IF(Table122128[[#This Row],[total time]]=$AQ$3,0,MAX(0,ROUND(((Table122128[[#This Row],[total time]]-$AQ$3)/$AQ$3)*$AO$6,2))))</f>
        <v>112.86</v>
      </c>
      <c r="AO5" t="s">
        <v>484</v>
      </c>
      <c r="AP5" t="s">
        <v>485</v>
      </c>
      <c r="AQ5" t="s">
        <v>486</v>
      </c>
    </row>
    <row r="6" spans="1:43" x14ac:dyDescent="0.3">
      <c r="A6">
        <v>54</v>
      </c>
      <c r="B6">
        <v>26</v>
      </c>
      <c r="C6" t="s">
        <v>223</v>
      </c>
      <c r="D6" t="s">
        <v>522</v>
      </c>
      <c r="E6" t="s">
        <v>538</v>
      </c>
      <c r="F6">
        <v>2012</v>
      </c>
      <c r="G6" s="1">
        <v>51.22</v>
      </c>
      <c r="H6" s="1">
        <v>51.17</v>
      </c>
      <c r="I6" s="1">
        <v>1.1850694444444445E-3</v>
      </c>
      <c r="K6">
        <v>102457</v>
      </c>
      <c r="L6" s="2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5.9282407407407406E-4</v>
      </c>
      <c r="M6" s="3">
        <f>IF(Table1225[[#This Row],[run 1 times]]="",999.99,IF(Table1225[[#This Row],[run 1 times]]=$S$3,0,MAX(0,ROUND(((Table1225[[#This Row],[run 1 times]]-$S$3)/$S$3)*$S$6,2))))</f>
        <v>75.14</v>
      </c>
      <c r="N6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5.9224537037037036E-4</v>
      </c>
      <c r="O6" s="3">
        <f>IF(Table1225[[#This Row],[run2 times]]="",999.99,IF(Table1225[[#This Row],[run2 times]]=$T$3,0,MAX(0,ROUND(((Table1225[[#This Row],[run2 times]]-$T$3)/$T$3)*$S$6,2))))</f>
        <v>46.75</v>
      </c>
      <c r="P6" s="2">
        <f>IF(OR(Table1225[[#This Row],[run 1 times]]="",Table1225[[#This Row],[run2 times]]=""),"",Table1225[[#This Row],[run 1 times]]+Table1225[[#This Row],[run2 times]])</f>
        <v>1.1850694444444443E-3</v>
      </c>
      <c r="Q6" s="3">
        <f>IF(Table1225[[#This Row],[total time]]="",999.99,IF(Table1225[[#This Row],[total time]]=$U$3,0,MAX(0,ROUND(((Table1225[[#This Row],[total time]]-$U$3)/$U$3)*$S$6,2))))</f>
        <v>60.7</v>
      </c>
      <c r="S6">
        <v>730</v>
      </c>
      <c r="T6">
        <v>1010</v>
      </c>
      <c r="U6">
        <v>1190</v>
      </c>
      <c r="W6">
        <v>19</v>
      </c>
      <c r="X6">
        <v>62</v>
      </c>
      <c r="Y6" t="s">
        <v>373</v>
      </c>
      <c r="Z6" t="s">
        <v>547</v>
      </c>
      <c r="AA6" t="s">
        <v>550</v>
      </c>
      <c r="AB6">
        <v>2010</v>
      </c>
      <c r="AC6" s="1">
        <v>58.28</v>
      </c>
      <c r="AD6" s="1">
        <v>54.66</v>
      </c>
      <c r="AE6" s="1">
        <v>1.3071759259259258E-3</v>
      </c>
      <c r="AG6">
        <v>102764</v>
      </c>
      <c r="AH6" s="2">
        <f>_xlfn.LET(_xlpm.x,Table122128[[#This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6.7453703703703708E-4</v>
      </c>
      <c r="AI6" s="3">
        <f>IF(Table122128[[#This Row],[run 1 times]]="",999.99,IF(Table122128[[#This Row],[run 1 times]]=$AO$3,0,MAX(0,ROUND(((Table122128[[#This Row],[run 1 times]]-$AO$3)/$AO$3)*$AO$6,2))))</f>
        <v>119.19</v>
      </c>
      <c r="AJ6" s="2">
        <f>_xlfn.LET(_xlpm.x,Table122128[[#This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6.3263888888888886E-4</v>
      </c>
      <c r="AK6" s="3">
        <f>IF(Table122128[[#This Row],[run2 times]]="",999.99,IF(Table122128[[#This Row],[run2 times]]=$AP$3,0,MAX(0,ROUND(((Table122128[[#This Row],[run2 times]]-$AP$3)/$AP$3)*$AO$6,2))))</f>
        <v>174.8</v>
      </c>
      <c r="AL6" s="2">
        <f>IF(OR(Table122128[[#This Row],[run 1 times]]="",Table122128[[#This Row],[run2 times]]=""),"",Table122128[[#This Row],[run 1 times]]+Table122128[[#This Row],[run2 times]])</f>
        <v>1.307175925925926E-3</v>
      </c>
      <c r="AM6" s="3">
        <f>IF(Table122128[[#This Row],[total time]]="",999.99,IF(Table122128[[#This Row],[total time]]=$AQ$3,0,MAX(0,ROUND(((Table122128[[#This Row],[total time]]-$AQ$3)/$AQ$3)*$AO$6,2))))</f>
        <v>141.25</v>
      </c>
      <c r="AO6">
        <v>730</v>
      </c>
      <c r="AP6">
        <v>1010</v>
      </c>
      <c r="AQ6">
        <v>1190</v>
      </c>
    </row>
    <row r="7" spans="1:43" x14ac:dyDescent="0.3">
      <c r="A7">
        <v>5</v>
      </c>
      <c r="B7">
        <v>33</v>
      </c>
      <c r="C7" t="s">
        <v>257</v>
      </c>
      <c r="D7" t="s">
        <v>522</v>
      </c>
      <c r="E7" t="s">
        <v>528</v>
      </c>
      <c r="F7">
        <v>2012</v>
      </c>
      <c r="G7" s="1">
        <v>51.38</v>
      </c>
      <c r="H7" s="1">
        <v>52.51</v>
      </c>
      <c r="I7" s="1">
        <v>1.2024305555555555E-3</v>
      </c>
      <c r="K7">
        <v>102713</v>
      </c>
      <c r="L7" s="2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5.9467592592592591E-4</v>
      </c>
      <c r="M7" s="3">
        <f>IF(Table1225[[#This Row],[run 1 times]]="",999.99,IF(Table1225[[#This Row],[run 1 times]]=$S$3,0,MAX(0,ROUND(((Table1225[[#This Row],[run 1 times]]-$S$3)/$S$3)*$S$6,2))))</f>
        <v>77.650000000000006</v>
      </c>
      <c r="N7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6.0775462962962964E-4</v>
      </c>
      <c r="O7" s="3">
        <f>IF(Table1225[[#This Row],[run2 times]]="",999.99,IF(Table1225[[#This Row],[run2 times]]=$T$3,0,MAX(0,ROUND(((Table1225[[#This Row],[run2 times]]-$T$3)/$T$3)*$S$6,2))))</f>
        <v>67.099999999999994</v>
      </c>
      <c r="P7" s="2">
        <f>IF(OR(Table1225[[#This Row],[run 1 times]]="",Table1225[[#This Row],[run2 times]]=""),"",Table1225[[#This Row],[run 1 times]]+Table1225[[#This Row],[run2 times]])</f>
        <v>1.2024305555555555E-3</v>
      </c>
      <c r="Q7" s="3">
        <f>IF(Table1225[[#This Row],[total time]]="",999.99,IF(Table1225[[#This Row],[total time]]=$U$3,0,MAX(0,ROUND(((Table1225[[#This Row],[total time]]-$U$3)/$U$3)*$S$6,2))))</f>
        <v>72.28</v>
      </c>
      <c r="W7">
        <v>20</v>
      </c>
      <c r="X7">
        <v>63</v>
      </c>
      <c r="Y7" t="s">
        <v>479</v>
      </c>
      <c r="Z7" t="s">
        <v>547</v>
      </c>
      <c r="AA7" t="s">
        <v>551</v>
      </c>
      <c r="AB7">
        <v>2010</v>
      </c>
      <c r="AC7" s="1">
        <v>50.1</v>
      </c>
      <c r="AD7" s="1">
        <v>45.28</v>
      </c>
      <c r="AE7" s="1">
        <v>1.1039351851851852E-3</v>
      </c>
      <c r="AG7">
        <v>89878</v>
      </c>
      <c r="AH7" s="2">
        <f>_xlfn.LET(_xlpm.x,Table122128[[#This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5.7986111111111118E-4</v>
      </c>
      <c r="AI7" s="3">
        <f>IF(Table122128[[#This Row],[run 1 times]]="",999.99,IF(Table122128[[#This Row],[run 1 times]]=$AO$3,0,MAX(0,ROUND(((Table122128[[#This Row],[run 1 times]]-$AO$3)/$AO$3)*$AO$6,2))))</f>
        <v>0</v>
      </c>
      <c r="AJ7" s="2">
        <f>_xlfn.LET(_xlpm.x,Table122128[[#This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5.2407407407407405E-4</v>
      </c>
      <c r="AK7" s="3">
        <f>IF(Table122128[[#This Row],[run2 times]]="",999.99,IF(Table122128[[#This Row],[run2 times]]=$AP$3,0,MAX(0,ROUND(((Table122128[[#This Row],[run2 times]]-$AP$3)/$AP$3)*$AO$6,2))))</f>
        <v>19.53</v>
      </c>
      <c r="AL7" s="2">
        <f>IF(OR(Table122128[[#This Row],[run 1 times]]="",Table122128[[#This Row],[run2 times]]=""),"",Table122128[[#This Row],[run 1 times]]+Table122128[[#This Row],[run2 times]])</f>
        <v>1.1039351851851852E-3</v>
      </c>
      <c r="AM7" s="3">
        <f>IF(Table122128[[#This Row],[total time]]="",999.99,IF(Table122128[[#This Row],[total time]]=$AQ$3,0,MAX(0,ROUND(((Table122128[[#This Row],[total time]]-$AQ$3)/$AQ$3)*$AO$6,2))))</f>
        <v>5.79</v>
      </c>
    </row>
    <row r="8" spans="1:43" x14ac:dyDescent="0.3">
      <c r="A8">
        <v>23</v>
      </c>
      <c r="B8">
        <v>51</v>
      </c>
      <c r="C8" t="s">
        <v>479</v>
      </c>
      <c r="D8" t="s">
        <v>522</v>
      </c>
      <c r="E8" t="s">
        <v>540</v>
      </c>
      <c r="F8">
        <v>2013</v>
      </c>
      <c r="G8" s="1">
        <v>52.44</v>
      </c>
      <c r="H8" s="1" t="s">
        <v>512</v>
      </c>
      <c r="I8" s="1"/>
      <c r="K8">
        <v>101429</v>
      </c>
      <c r="L8" s="2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6.0694444444444446E-4</v>
      </c>
      <c r="M8" s="3">
        <f>IF(Table1225[[#This Row],[run 1 times]]="",999.99,IF(Table1225[[#This Row],[run 1 times]]=$S$3,0,MAX(0,ROUND(((Table1225[[#This Row],[run 1 times]]-$S$3)/$S$3)*$S$6,2))))</f>
        <v>94.32</v>
      </c>
      <c r="N8" s="2" t="str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8" s="3">
        <f>IF(Table1225[[#This Row],[run2 times]]="",999.99,IF(Table1225[[#This Row],[run2 times]]=$T$3,0,MAX(0,ROUND(((Table1225[[#This Row],[run2 times]]-$T$3)/$T$3)*$S$6,2))))</f>
        <v>999.99</v>
      </c>
      <c r="P8" s="2" t="str">
        <f>IF(OR(Table1225[[#This Row],[run 1 times]]="",Table1225[[#This Row],[run2 times]]=""),"",Table1225[[#This Row],[run 1 times]]+Table1225[[#This Row],[run2 times]])</f>
        <v/>
      </c>
      <c r="Q8" s="3">
        <f>IF(Table1225[[#This Row],[total time]]="",999.99,IF(Table1225[[#This Row],[total time]]=$U$3,0,MAX(0,ROUND(((Table1225[[#This Row],[total time]]-$U$3)/$U$3)*$S$6,2))))</f>
        <v>999.99</v>
      </c>
      <c r="W8">
        <v>21</v>
      </c>
      <c r="X8">
        <v>64</v>
      </c>
      <c r="Y8" t="s">
        <v>479</v>
      </c>
      <c r="Z8" t="s">
        <v>552</v>
      </c>
      <c r="AA8" t="s">
        <v>553</v>
      </c>
      <c r="AB8">
        <v>2009</v>
      </c>
      <c r="AC8" s="1" t="s">
        <v>512</v>
      </c>
      <c r="AD8" s="1">
        <v>45.98</v>
      </c>
      <c r="AE8" s="1"/>
      <c r="AG8">
        <v>88121</v>
      </c>
      <c r="AH8" s="2" t="str">
        <f>_xlfn.LET(_xlpm.x,Table122128[[#This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8" s="3">
        <f>IF(Table122128[[#This Row],[run 1 times]]="",999.99,IF(Table122128[[#This Row],[run 1 times]]=$AO$3,0,MAX(0,ROUND(((Table122128[[#This Row],[run 1 times]]-$AO$3)/$AO$3)*$AO$6,2))))</f>
        <v>999.99</v>
      </c>
      <c r="AJ8" s="2">
        <f>_xlfn.LET(_xlpm.x,Table122128[[#This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5.3217592592592585E-4</v>
      </c>
      <c r="AK8" s="3">
        <f>IF(Table122128[[#This Row],[run2 times]]="",999.99,IF(Table122128[[#This Row],[run2 times]]=$AP$3,0,MAX(0,ROUND(((Table122128[[#This Row],[run2 times]]-$AP$3)/$AP$3)*$AO$6,2))))</f>
        <v>31.12</v>
      </c>
      <c r="AL8" s="2" t="str">
        <f>IF(OR(Table122128[[#This Row],[run 1 times]]="",Table122128[[#This Row],[run2 times]]=""),"",Table122128[[#This Row],[run 1 times]]+Table122128[[#This Row],[run2 times]])</f>
        <v/>
      </c>
      <c r="AM8" s="3">
        <f>IF(Table122128[[#This Row],[total time]]="",999.99,IF(Table122128[[#This Row],[total time]]=$AQ$3,0,MAX(0,ROUND(((Table122128[[#This Row],[total time]]-$AQ$3)/$AQ$3)*$AO$6,2))))</f>
        <v>999.99</v>
      </c>
    </row>
    <row r="9" spans="1:43" x14ac:dyDescent="0.3">
      <c r="A9">
        <v>25</v>
      </c>
      <c r="B9">
        <v>53</v>
      </c>
      <c r="C9" t="s">
        <v>257</v>
      </c>
      <c r="D9" t="s">
        <v>522</v>
      </c>
      <c r="E9" t="s">
        <v>526</v>
      </c>
      <c r="F9">
        <v>2012</v>
      </c>
      <c r="G9" s="1">
        <v>53.45</v>
      </c>
      <c r="H9" s="1">
        <v>55.52</v>
      </c>
      <c r="I9" s="1">
        <v>1.2612268518518519E-3</v>
      </c>
      <c r="K9">
        <v>107311</v>
      </c>
      <c r="L9" s="2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6.1863425925925931E-4</v>
      </c>
      <c r="M9" s="3">
        <f>IF(Table1225[[#This Row],[run 1 times]]="",999.99,IF(Table1225[[#This Row],[run 1 times]]=$S$3,0,MAX(0,ROUND(((Table1225[[#This Row],[run 1 times]]-$S$3)/$S$3)*$S$6,2))))</f>
        <v>110.19</v>
      </c>
      <c r="N9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6.4259259259259261E-4</v>
      </c>
      <c r="O9" s="3">
        <f>IF(Table1225[[#This Row],[run2 times]]="",999.99,IF(Table1225[[#This Row],[run2 times]]=$T$3,0,MAX(0,ROUND(((Table1225[[#This Row],[run2 times]]-$T$3)/$T$3)*$S$6,2))))</f>
        <v>112.79</v>
      </c>
      <c r="P9" s="2">
        <f>IF(OR(Table1225[[#This Row],[run 1 times]]="",Table1225[[#This Row],[run2 times]]=""),"",Table1225[[#This Row],[run 1 times]]+Table1225[[#This Row],[run2 times]])</f>
        <v>1.2612268518518519E-3</v>
      </c>
      <c r="Q9" s="3">
        <f>IF(Table1225[[#This Row],[total time]]="",999.99,IF(Table1225[[#This Row],[total time]]=$U$3,0,MAX(0,ROUND(((Table1225[[#This Row],[total time]]-$U$3)/$U$3)*$S$6,2))))</f>
        <v>111.51</v>
      </c>
      <c r="W9">
        <v>22</v>
      </c>
      <c r="X9">
        <v>65</v>
      </c>
      <c r="Y9" t="s">
        <v>373</v>
      </c>
      <c r="Z9" t="s">
        <v>547</v>
      </c>
      <c r="AA9" t="s">
        <v>554</v>
      </c>
      <c r="AB9">
        <v>2011</v>
      </c>
      <c r="AC9" s="1">
        <v>7.6620370370370373E-4</v>
      </c>
      <c r="AD9" s="1">
        <v>58.26</v>
      </c>
      <c r="AE9" s="1">
        <v>1.4405092592592592E-3</v>
      </c>
      <c r="AG9">
        <v>94829</v>
      </c>
      <c r="AH9" s="2">
        <f>_xlfn.LET(_xlpm.x,Table122128[[#This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7.6620370370370373E-4</v>
      </c>
      <c r="AI9" s="3">
        <f>IF(Table122128[[#This Row],[run 1 times]]="",999.99,IF(Table122128[[#This Row],[run 1 times]]=$AO$3,0,MAX(0,ROUND(((Table122128[[#This Row],[run 1 times]]-$AO$3)/$AO$3)*$AO$6,2))))</f>
        <v>234.59</v>
      </c>
      <c r="AJ9" s="2">
        <f>_xlfn.LET(_xlpm.x,Table122128[[#This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6.7430555555555549E-4</v>
      </c>
      <c r="AK9" s="3">
        <f>IF(Table122128[[#This Row],[run2 times]]="",999.99,IF(Table122128[[#This Row],[run2 times]]=$AP$3,0,MAX(0,ROUND(((Table122128[[#This Row],[run2 times]]-$AP$3)/$AP$3)*$AO$6,2))))</f>
        <v>234.39</v>
      </c>
      <c r="AL9" s="2">
        <f>IF(OR(Table122128[[#This Row],[run 1 times]]="",Table122128[[#This Row],[run2 times]]=""),"",Table122128[[#This Row],[run 1 times]]+Table122128[[#This Row],[run2 times]])</f>
        <v>1.4405092592592592E-3</v>
      </c>
      <c r="AM9" s="3">
        <f>IF(Table122128[[#This Row],[total time]]="",999.99,IF(Table122128[[#This Row],[total time]]=$AQ$3,0,MAX(0,ROUND(((Table122128[[#This Row],[total time]]-$AQ$3)/$AQ$3)*$AO$6,2))))</f>
        <v>230.12</v>
      </c>
    </row>
    <row r="10" spans="1:43" x14ac:dyDescent="0.3">
      <c r="A10">
        <v>52</v>
      </c>
      <c r="B10">
        <v>24</v>
      </c>
      <c r="C10" t="s">
        <v>24</v>
      </c>
      <c r="D10" t="s">
        <v>522</v>
      </c>
      <c r="E10" t="s">
        <v>525</v>
      </c>
      <c r="F10">
        <v>2012</v>
      </c>
      <c r="G10" s="1">
        <v>53.46</v>
      </c>
      <c r="H10" s="1">
        <v>50.79</v>
      </c>
      <c r="I10" s="1">
        <v>1.2065972222222222E-3</v>
      </c>
      <c r="K10">
        <v>93740</v>
      </c>
      <c r="L10" s="2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6.1875000000000005E-4</v>
      </c>
      <c r="M10" s="3">
        <f>IF(Table1225[[#This Row],[run 1 times]]="",999.99,IF(Table1225[[#This Row],[run 1 times]]=$S$3,0,MAX(0,ROUND(((Table1225[[#This Row],[run 1 times]]-$S$3)/$S$3)*$S$6,2))))</f>
        <v>110.35</v>
      </c>
      <c r="N10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5.8784722222222224E-4</v>
      </c>
      <c r="O10" s="3">
        <f>IF(Table1225[[#This Row],[run2 times]]="",999.99,IF(Table1225[[#This Row],[run2 times]]=$T$3,0,MAX(0,ROUND(((Table1225[[#This Row],[run2 times]]-$T$3)/$T$3)*$S$6,2))))</f>
        <v>40.99</v>
      </c>
      <c r="P10" s="2">
        <f>IF(OR(Table1225[[#This Row],[run 1 times]]="",Table1225[[#This Row],[run2 times]]=""),"",Table1225[[#This Row],[run 1 times]]+Table1225[[#This Row],[run2 times]])</f>
        <v>1.2065972222222222E-3</v>
      </c>
      <c r="Q10" s="3">
        <f>IF(Table1225[[#This Row],[total time]]="",999.99,IF(Table1225[[#This Row],[total time]]=$U$3,0,MAX(0,ROUND(((Table1225[[#This Row],[total time]]-$U$3)/$U$3)*$S$6,2))))</f>
        <v>75.06</v>
      </c>
      <c r="W10">
        <v>23</v>
      </c>
      <c r="X10">
        <v>66</v>
      </c>
      <c r="Y10" t="s">
        <v>479</v>
      </c>
      <c r="Z10" t="s">
        <v>547</v>
      </c>
      <c r="AA10" t="s">
        <v>555</v>
      </c>
      <c r="AB10">
        <v>2011</v>
      </c>
      <c r="AC10" s="1">
        <v>53.09</v>
      </c>
      <c r="AD10" s="1">
        <v>45.56</v>
      </c>
      <c r="AE10" s="1">
        <v>1.1417824074074075E-3</v>
      </c>
      <c r="AG10">
        <v>94624</v>
      </c>
      <c r="AH10" s="2">
        <f>_xlfn.LET(_xlpm.x,Table122128[[#This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6.1446759259259267E-4</v>
      </c>
      <c r="AI10" s="3">
        <f>IF(Table122128[[#This Row],[run 1 times]]="",999.99,IF(Table122128[[#This Row],[run 1 times]]=$AO$3,0,MAX(0,ROUND(((Table122128[[#This Row],[run 1 times]]-$AO$3)/$AO$3)*$AO$6,2))))</f>
        <v>43.57</v>
      </c>
      <c r="AJ10" s="2">
        <f>_xlfn.LET(_xlpm.x,Table122128[[#This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5.2731481481481488E-4</v>
      </c>
      <c r="AK10" s="3">
        <f>IF(Table122128[[#This Row],[run2 times]]="",999.99,IF(Table122128[[#This Row],[run2 times]]=$AP$3,0,MAX(0,ROUND(((Table122128[[#This Row],[run2 times]]-$AP$3)/$AP$3)*$AO$6,2))))</f>
        <v>24.17</v>
      </c>
      <c r="AL10" s="2">
        <f>IF(OR(Table122128[[#This Row],[run 1 times]]="",Table122128[[#This Row],[run2 times]]=""),"",Table122128[[#This Row],[run 1 times]]+Table122128[[#This Row],[run2 times]])</f>
        <v>1.1417824074074075E-3</v>
      </c>
      <c r="AM10" s="3">
        <f>IF(Table122128[[#This Row],[total time]]="",999.99,IF(Table122128[[#This Row],[total time]]=$AQ$3,0,MAX(0,ROUND(((Table122128[[#This Row],[total time]]-$AQ$3)/$AQ$3)*$AO$6,2))))</f>
        <v>31.01</v>
      </c>
    </row>
    <row r="11" spans="1:43" x14ac:dyDescent="0.3">
      <c r="A11">
        <v>28</v>
      </c>
      <c r="B11">
        <v>56</v>
      </c>
      <c r="C11" t="s">
        <v>257</v>
      </c>
      <c r="D11" t="s">
        <v>522</v>
      </c>
      <c r="E11" t="s">
        <v>530</v>
      </c>
      <c r="F11">
        <v>2013</v>
      </c>
      <c r="G11" s="1">
        <v>54.03</v>
      </c>
      <c r="H11" s="1">
        <v>52.58</v>
      </c>
      <c r="I11" s="1">
        <v>1.2339120370370371E-3</v>
      </c>
      <c r="K11">
        <v>112516</v>
      </c>
      <c r="L11" s="2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6.2534722222222223E-4</v>
      </c>
      <c r="M11" s="3">
        <f>IF(Table1225[[#This Row],[run 1 times]]="",999.99,IF(Table1225[[#This Row],[run 1 times]]=$S$3,0,MAX(0,ROUND(((Table1225[[#This Row],[run 1 times]]-$S$3)/$S$3)*$S$6,2))))</f>
        <v>119.31</v>
      </c>
      <c r="N11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6.0856481481481482E-4</v>
      </c>
      <c r="O11" s="3">
        <f>IF(Table1225[[#This Row],[run2 times]]="",999.99,IF(Table1225[[#This Row],[run2 times]]=$T$3,0,MAX(0,ROUND(((Table1225[[#This Row],[run2 times]]-$T$3)/$T$3)*$S$6,2))))</f>
        <v>68.16</v>
      </c>
      <c r="P11" s="2">
        <f>IF(OR(Table1225[[#This Row],[run 1 times]]="",Table1225[[#This Row],[run2 times]]=""),"",Table1225[[#This Row],[run 1 times]]+Table1225[[#This Row],[run2 times]])</f>
        <v>1.2339120370370371E-3</v>
      </c>
      <c r="Q11" s="3">
        <f>IF(Table1225[[#This Row],[total time]]="",999.99,IF(Table1225[[#This Row],[total time]]=$U$3,0,MAX(0,ROUND(((Table1225[[#This Row],[total time]]-$U$3)/$U$3)*$S$6,2))))</f>
        <v>93.29</v>
      </c>
      <c r="W11">
        <v>24</v>
      </c>
      <c r="X11">
        <v>67</v>
      </c>
      <c r="Y11" t="s">
        <v>24</v>
      </c>
      <c r="Z11" t="s">
        <v>547</v>
      </c>
      <c r="AA11" t="s">
        <v>740</v>
      </c>
      <c r="AB11">
        <v>2011</v>
      </c>
      <c r="AC11" s="1">
        <v>8.6354166666666665E-4</v>
      </c>
      <c r="AD11" s="1">
        <v>7.765046296296297E-4</v>
      </c>
      <c r="AE11" s="1">
        <v>1.6400462962962961E-3</v>
      </c>
      <c r="AG11">
        <v>121115</v>
      </c>
      <c r="AH11" s="2">
        <f>_xlfn.LET(_xlpm.x,Table122128[[#This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8.6354166666666665E-4</v>
      </c>
      <c r="AI11" s="3">
        <f>IF(Table122128[[#This Row],[run 1 times]]="",999.99,IF(Table122128[[#This Row],[run 1 times]]=$AO$3,0,MAX(0,ROUND(((Table122128[[#This Row],[run 1 times]]-$AO$3)/$AO$3)*$AO$6,2))))</f>
        <v>357.13</v>
      </c>
      <c r="AJ11" s="2">
        <f>_xlfn.LET(_xlpm.x,Table122128[[#This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7.765046296296297E-4</v>
      </c>
      <c r="AK11" s="3">
        <f>IF(Table122128[[#This Row],[run2 times]]="",999.99,IF(Table122128[[#This Row],[run2 times]]=$AP$3,0,MAX(0,ROUND(((Table122128[[#This Row],[run2 times]]-$AP$3)/$AP$3)*$AO$6,2))))</f>
        <v>380.56</v>
      </c>
      <c r="AL11" s="2">
        <f>IF(OR(Table122128[[#This Row],[run 1 times]]="",Table122128[[#This Row],[run2 times]]=""),"",Table122128[[#This Row],[run 1 times]]+Table122128[[#This Row],[run2 times]])</f>
        <v>1.6400462962962963E-3</v>
      </c>
      <c r="AM11" s="3">
        <f>IF(Table122128[[#This Row],[total time]]="",999.99,IF(Table122128[[#This Row],[total time]]=$AQ$3,0,MAX(0,ROUND(((Table122128[[#This Row],[total time]]-$AQ$3)/$AQ$3)*$AO$6,2))))</f>
        <v>363.11</v>
      </c>
    </row>
    <row r="12" spans="1:43" x14ac:dyDescent="0.3">
      <c r="A12">
        <v>15</v>
      </c>
      <c r="B12">
        <v>43</v>
      </c>
      <c r="C12" t="s">
        <v>479</v>
      </c>
      <c r="D12" t="s">
        <v>480</v>
      </c>
      <c r="E12" t="s">
        <v>481</v>
      </c>
      <c r="F12">
        <v>2014</v>
      </c>
      <c r="G12" s="1">
        <v>56.48</v>
      </c>
      <c r="H12" s="1">
        <v>59.28</v>
      </c>
      <c r="I12" s="1">
        <v>1.3398148148148147E-3</v>
      </c>
      <c r="K12">
        <v>107904</v>
      </c>
      <c r="L12" s="2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6.5370370370370365E-4</v>
      </c>
      <c r="M12" s="3">
        <f>IF(Table1225[[#This Row],[run 1 times]]="",999.99,IF(Table1225[[#This Row],[run 1 times]]=$S$3,0,MAX(0,ROUND(((Table1225[[#This Row],[run 1 times]]-$S$3)/$S$3)*$S$6,2))))</f>
        <v>157.82</v>
      </c>
      <c r="N12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6.8611111111111108E-4</v>
      </c>
      <c r="O12" s="3">
        <f>IF(Table1225[[#This Row],[run2 times]]="",999.99,IF(Table1225[[#This Row],[run2 times]]=$T$3,0,MAX(0,ROUND(((Table1225[[#This Row],[run2 times]]-$T$3)/$T$3)*$S$6,2))))</f>
        <v>169.86</v>
      </c>
      <c r="P12" s="2">
        <f>IF(OR(Table1225[[#This Row],[run 1 times]]="",Table1225[[#This Row],[run2 times]]=""),"",Table1225[[#This Row],[run 1 times]]+Table1225[[#This Row],[run2 times]])</f>
        <v>1.3398148148148147E-3</v>
      </c>
      <c r="Q12" s="3">
        <f>IF(Table1225[[#This Row],[total time]]="",999.99,IF(Table1225[[#This Row],[total time]]=$U$3,0,MAX(0,ROUND(((Table1225[[#This Row],[total time]]-$U$3)/$U$3)*$S$6,2))))</f>
        <v>163.95</v>
      </c>
      <c r="W12">
        <v>25</v>
      </c>
      <c r="X12">
        <v>68</v>
      </c>
      <c r="Y12" t="s">
        <v>479</v>
      </c>
      <c r="Z12" t="s">
        <v>547</v>
      </c>
      <c r="AA12" t="s">
        <v>557</v>
      </c>
      <c r="AB12">
        <v>2010</v>
      </c>
      <c r="AC12" s="1">
        <v>58.08</v>
      </c>
      <c r="AD12" s="1">
        <v>49.33</v>
      </c>
      <c r="AE12" s="1">
        <v>1.2431712962962963E-3</v>
      </c>
      <c r="AG12">
        <v>89874</v>
      </c>
      <c r="AH12" s="2">
        <f>_xlfn.LET(_xlpm.x,Table122128[[#This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6.7222222222222217E-4</v>
      </c>
      <c r="AI12" s="3">
        <f>IF(Table122128[[#This Row],[run 1 times]]="",999.99,IF(Table122128[[#This Row],[run 1 times]]=$AO$3,0,MAX(0,ROUND(((Table122128[[#This Row],[run 1 times]]-$AO$3)/$AO$3)*$AO$6,2))))</f>
        <v>116.28</v>
      </c>
      <c r="AJ12" s="2">
        <f>_xlfn.LET(_xlpm.x,Table122128[[#This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5.7094907407407409E-4</v>
      </c>
      <c r="AK12" s="3">
        <f>IF(Table122128[[#This Row],[run2 times]]="",999.99,IF(Table122128[[#This Row],[run2 times]]=$AP$3,0,MAX(0,ROUND(((Table122128[[#This Row],[run2 times]]-$AP$3)/$AP$3)*$AO$6,2))))</f>
        <v>86.57</v>
      </c>
      <c r="AL12" s="2">
        <f>IF(OR(Table122128[[#This Row],[run 1 times]]="",Table122128[[#This Row],[run2 times]]=""),"",Table122128[[#This Row],[run 1 times]]+Table122128[[#This Row],[run2 times]])</f>
        <v>1.2431712962962963E-3</v>
      </c>
      <c r="AM12" s="3">
        <f>IF(Table122128[[#This Row],[total time]]="",999.99,IF(Table122128[[#This Row],[total time]]=$AQ$3,0,MAX(0,ROUND(((Table122128[[#This Row],[total time]]-$AQ$3)/$AQ$3)*$AO$6,2))))</f>
        <v>98.59</v>
      </c>
    </row>
    <row r="13" spans="1:43" x14ac:dyDescent="0.3">
      <c r="A13">
        <v>36</v>
      </c>
      <c r="B13">
        <v>8</v>
      </c>
      <c r="C13" t="s">
        <v>24</v>
      </c>
      <c r="D13" t="s">
        <v>522</v>
      </c>
      <c r="E13" t="s">
        <v>539</v>
      </c>
      <c r="F13">
        <v>2012</v>
      </c>
      <c r="G13" s="1">
        <v>56.74</v>
      </c>
      <c r="H13" s="1">
        <v>57.54</v>
      </c>
      <c r="I13" s="1">
        <v>1.3226851851851852E-3</v>
      </c>
      <c r="K13">
        <v>102777</v>
      </c>
      <c r="L13" s="2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6.56712962962963E-4</v>
      </c>
      <c r="M13" s="3">
        <f>IF(Table1225[[#This Row],[run 1 times]]="",999.99,IF(Table1225[[#This Row],[run 1 times]]=$S$3,0,MAX(0,ROUND(((Table1225[[#This Row],[run 1 times]]-$S$3)/$S$3)*$S$6,2))))</f>
        <v>161.91</v>
      </c>
      <c r="N13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6.659722222222222E-4</v>
      </c>
      <c r="O13" s="3">
        <f>IF(Table1225[[#This Row],[run2 times]]="",999.99,IF(Table1225[[#This Row],[run2 times]]=$T$3,0,MAX(0,ROUND(((Table1225[[#This Row],[run2 times]]-$T$3)/$T$3)*$S$6,2))))</f>
        <v>143.44999999999999</v>
      </c>
      <c r="P13" s="2">
        <f>IF(OR(Table1225[[#This Row],[run 1 times]]="",Table1225[[#This Row],[run2 times]]=""),"",Table1225[[#This Row],[run 1 times]]+Table1225[[#This Row],[run2 times]])</f>
        <v>1.3226851851851852E-3</v>
      </c>
      <c r="Q13" s="3">
        <f>IF(Table1225[[#This Row],[total time]]="",999.99,IF(Table1225[[#This Row],[total time]]=$U$3,0,MAX(0,ROUND(((Table1225[[#This Row],[total time]]-$U$3)/$U$3)*$S$6,2))))</f>
        <v>152.52000000000001</v>
      </c>
      <c r="W13">
        <v>26</v>
      </c>
      <c r="X13">
        <v>69</v>
      </c>
      <c r="Y13" t="s">
        <v>257</v>
      </c>
      <c r="Z13" t="s">
        <v>552</v>
      </c>
      <c r="AA13" t="s">
        <v>558</v>
      </c>
      <c r="AB13">
        <v>2009</v>
      </c>
      <c r="AC13" s="1" t="s">
        <v>512</v>
      </c>
      <c r="AD13" s="1">
        <v>52.58</v>
      </c>
      <c r="AE13" s="1"/>
      <c r="AG13">
        <v>109211</v>
      </c>
      <c r="AH13" s="2" t="str">
        <f>_xlfn.LET(_xlpm.x,Table122128[[#This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13" s="3">
        <f>IF(Table122128[[#This Row],[run 1 times]]="",999.99,IF(Table122128[[#This Row],[run 1 times]]=$AO$3,0,MAX(0,ROUND(((Table122128[[#This Row],[run 1 times]]-$AO$3)/$AO$3)*$AO$6,2))))</f>
        <v>999.99</v>
      </c>
      <c r="AJ13" s="2">
        <f>_xlfn.LET(_xlpm.x,Table122128[[#This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6.0856481481481482E-4</v>
      </c>
      <c r="AK13" s="3">
        <f>IF(Table122128[[#This Row],[run2 times]]="",999.99,IF(Table122128[[#This Row],[run2 times]]=$AP$3,0,MAX(0,ROUND(((Table122128[[#This Row],[run2 times]]-$AP$3)/$AP$3)*$AO$6,2))))</f>
        <v>140.37</v>
      </c>
      <c r="AL13" s="2" t="str">
        <f>IF(OR(Table122128[[#This Row],[run 1 times]]="",Table122128[[#This Row],[run2 times]]=""),"",Table122128[[#This Row],[run 1 times]]+Table122128[[#This Row],[run2 times]])</f>
        <v/>
      </c>
      <c r="AM13" s="3">
        <f>IF(Table122128[[#This Row],[total time]]="",999.99,IF(Table122128[[#This Row],[total time]]=$AQ$3,0,MAX(0,ROUND(((Table122128[[#This Row],[total time]]-$AQ$3)/$AQ$3)*$AO$6,2))))</f>
        <v>999.99</v>
      </c>
    </row>
    <row r="14" spans="1:43" x14ac:dyDescent="0.3">
      <c r="A14">
        <v>14</v>
      </c>
      <c r="B14">
        <v>42</v>
      </c>
      <c r="C14" t="s">
        <v>479</v>
      </c>
      <c r="D14" t="s">
        <v>480</v>
      </c>
      <c r="E14" t="s">
        <v>521</v>
      </c>
      <c r="F14">
        <v>2014</v>
      </c>
      <c r="G14" s="1">
        <v>57.8</v>
      </c>
      <c r="H14" s="1">
        <v>57.54</v>
      </c>
      <c r="I14" s="1">
        <v>1.3349537037037036E-3</v>
      </c>
      <c r="K14">
        <v>108184</v>
      </c>
      <c r="L14" s="2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6.6898148148148145E-4</v>
      </c>
      <c r="M14" s="3">
        <f>IF(Table1225[[#This Row],[run 1 times]]="",999.99,IF(Table1225[[#This Row],[run 1 times]]=$S$3,0,MAX(0,ROUND(((Table1225[[#This Row],[run 1 times]]-$S$3)/$S$3)*$S$6,2))))</f>
        <v>178.57</v>
      </c>
      <c r="N14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6.659722222222222E-4</v>
      </c>
      <c r="O14" s="3">
        <f>IF(Table1225[[#This Row],[run2 times]]="",999.99,IF(Table1225[[#This Row],[run2 times]]=$T$3,0,MAX(0,ROUND(((Table1225[[#This Row],[run2 times]]-$T$3)/$T$3)*$S$6,2))))</f>
        <v>143.44999999999999</v>
      </c>
      <c r="P14" s="2">
        <f>IF(OR(Table1225[[#This Row],[run 1 times]]="",Table1225[[#This Row],[run2 times]]=""),"",Table1225[[#This Row],[run 1 times]]+Table1225[[#This Row],[run2 times]])</f>
        <v>1.3349537037037036E-3</v>
      </c>
      <c r="Q14" s="3">
        <f>IF(Table1225[[#This Row],[total time]]="",999.99,IF(Table1225[[#This Row],[total time]]=$U$3,0,MAX(0,ROUND(((Table1225[[#This Row],[total time]]-$U$3)/$U$3)*$S$6,2))))</f>
        <v>160.69999999999999</v>
      </c>
      <c r="W14">
        <v>27</v>
      </c>
      <c r="X14">
        <v>70</v>
      </c>
      <c r="Y14" t="s">
        <v>24</v>
      </c>
      <c r="Z14" t="s">
        <v>552</v>
      </c>
      <c r="AA14" t="s">
        <v>559</v>
      </c>
      <c r="AB14">
        <v>2009</v>
      </c>
      <c r="AC14" s="1">
        <v>59.77</v>
      </c>
      <c r="AD14" s="1">
        <v>52.53</v>
      </c>
      <c r="AE14" s="1">
        <v>1.2997685185185185E-3</v>
      </c>
      <c r="AG14">
        <v>91622</v>
      </c>
      <c r="AH14" s="2">
        <f>_xlfn.LET(_xlpm.x,Table122128[[#This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6.9178240740740745E-4</v>
      </c>
      <c r="AI14" s="3">
        <f>IF(Table122128[[#This Row],[run 1 times]]="",999.99,IF(Table122128[[#This Row],[run 1 times]]=$AO$3,0,MAX(0,ROUND(((Table122128[[#This Row],[run 1 times]]-$AO$3)/$AO$3)*$AO$6,2))))</f>
        <v>140.9</v>
      </c>
      <c r="AJ14" s="2">
        <f>_xlfn.LET(_xlpm.x,Table122128[[#This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6.0798611111111112E-4</v>
      </c>
      <c r="AK14" s="3">
        <f>IF(Table122128[[#This Row],[run2 times]]="",999.99,IF(Table122128[[#This Row],[run2 times]]=$AP$3,0,MAX(0,ROUND(((Table122128[[#This Row],[run2 times]]-$AP$3)/$AP$3)*$AO$6,2))))</f>
        <v>139.54</v>
      </c>
      <c r="AL14" s="2">
        <f>IF(OR(Table122128[[#This Row],[run 1 times]]="",Table122128[[#This Row],[run2 times]]=""),"",Table122128[[#This Row],[run 1 times]]+Table122128[[#This Row],[run2 times]])</f>
        <v>1.2997685185185187E-3</v>
      </c>
      <c r="AM14" s="3">
        <f>IF(Table122128[[#This Row],[total time]]="",999.99,IF(Table122128[[#This Row],[total time]]=$AQ$3,0,MAX(0,ROUND(((Table122128[[#This Row],[total time]]-$AQ$3)/$AQ$3)*$AO$6,2))))</f>
        <v>136.31</v>
      </c>
    </row>
    <row r="15" spans="1:43" x14ac:dyDescent="0.3">
      <c r="A15">
        <v>16</v>
      </c>
      <c r="B15">
        <v>44</v>
      </c>
      <c r="C15" t="s">
        <v>479</v>
      </c>
      <c r="D15" t="s">
        <v>480</v>
      </c>
      <c r="E15" t="s">
        <v>513</v>
      </c>
      <c r="F15">
        <v>2014</v>
      </c>
      <c r="G15" s="1">
        <v>58.19</v>
      </c>
      <c r="H15" s="1">
        <v>7.6145833333333339E-4</v>
      </c>
      <c r="I15" s="1">
        <v>1.4349537037037037E-3</v>
      </c>
      <c r="K15">
        <v>108182</v>
      </c>
      <c r="L15" s="2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6.7349537037037031E-4</v>
      </c>
      <c r="M15" s="3">
        <f>IF(Table1225[[#This Row],[run 1 times]]="",999.99,IF(Table1225[[#This Row],[run 1 times]]=$S$3,0,MAX(0,ROUND(((Table1225[[#This Row],[run 1 times]]-$S$3)/$S$3)*$S$6,2))))</f>
        <v>184.7</v>
      </c>
      <c r="N15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7.6145833333333339E-4</v>
      </c>
      <c r="O15" s="3">
        <f>IF(Table1225[[#This Row],[run2 times]]="",999.99,IF(Table1225[[#This Row],[run2 times]]=$T$3,0,MAX(0,ROUND(((Table1225[[#This Row],[run2 times]]-$T$3)/$T$3)*$S$6,2))))</f>
        <v>268.68</v>
      </c>
      <c r="P15" s="2">
        <f>IF(OR(Table1225[[#This Row],[run 1 times]]="",Table1225[[#This Row],[run2 times]]=""),"",Table1225[[#This Row],[run 1 times]]+Table1225[[#This Row],[run2 times]])</f>
        <v>1.4349537037037037E-3</v>
      </c>
      <c r="Q15" s="3">
        <f>IF(Table1225[[#This Row],[total time]]="",999.99,IF(Table1225[[#This Row],[total time]]=$U$3,0,MAX(0,ROUND(((Table1225[[#This Row],[total time]]-$U$3)/$U$3)*$S$6,2))))</f>
        <v>227.43</v>
      </c>
      <c r="W15">
        <v>28</v>
      </c>
      <c r="X15">
        <v>71</v>
      </c>
      <c r="Y15" t="s">
        <v>24</v>
      </c>
      <c r="Z15" t="s">
        <v>547</v>
      </c>
      <c r="AA15" t="s">
        <v>560</v>
      </c>
      <c r="AB15">
        <v>2011</v>
      </c>
      <c r="AC15" s="1">
        <v>7.5023148148148139E-4</v>
      </c>
      <c r="AD15" s="1">
        <v>56.21</v>
      </c>
      <c r="AE15" s="1">
        <v>1.4008101851851853E-3</v>
      </c>
      <c r="AG15">
        <v>88934</v>
      </c>
      <c r="AH15" s="2">
        <f>_xlfn.LET(_xlpm.x,Table122128[[#This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7.5023148148148139E-4</v>
      </c>
      <c r="AI15" s="3">
        <f>IF(Table122128[[#This Row],[run 1 times]]="",999.99,IF(Table122128[[#This Row],[run 1 times]]=$AO$3,0,MAX(0,ROUND(((Table122128[[#This Row],[run 1 times]]-$AO$3)/$AO$3)*$AO$6,2))))</f>
        <v>214.48</v>
      </c>
      <c r="AJ15" s="2">
        <f>_xlfn.LET(_xlpm.x,Table122128[[#This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6.5057870370370367E-4</v>
      </c>
      <c r="AK15" s="3">
        <f>IF(Table122128[[#This Row],[run2 times]]="",999.99,IF(Table122128[[#This Row],[run2 times]]=$AP$3,0,MAX(0,ROUND(((Table122128[[#This Row],[run2 times]]-$AP$3)/$AP$3)*$AO$6,2))))</f>
        <v>200.46</v>
      </c>
      <c r="AL15" s="2">
        <f>IF(OR(Table122128[[#This Row],[run 1 times]]="",Table122128[[#This Row],[run2 times]]=""),"",Table122128[[#This Row],[run 1 times]]+Table122128[[#This Row],[run2 times]])</f>
        <v>1.4008101851851851E-3</v>
      </c>
      <c r="AM15" s="3">
        <f>IF(Table122128[[#This Row],[total time]]="",999.99,IF(Table122128[[#This Row],[total time]]=$AQ$3,0,MAX(0,ROUND(((Table122128[[#This Row],[total time]]-$AQ$3)/$AQ$3)*$AO$6,2))))</f>
        <v>203.66</v>
      </c>
    </row>
    <row r="16" spans="1:43" x14ac:dyDescent="0.3">
      <c r="A16">
        <v>48</v>
      </c>
      <c r="B16">
        <v>20</v>
      </c>
      <c r="C16" t="s">
        <v>257</v>
      </c>
      <c r="D16" t="s">
        <v>522</v>
      </c>
      <c r="E16" t="s">
        <v>543</v>
      </c>
      <c r="F16">
        <v>2013</v>
      </c>
      <c r="G16" s="1">
        <v>58.35</v>
      </c>
      <c r="H16" s="1">
        <v>6.9976851851851851E-4</v>
      </c>
      <c r="I16" s="1">
        <v>1.3751157407407408E-3</v>
      </c>
      <c r="K16">
        <v>121965</v>
      </c>
      <c r="L16" s="2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6.7534722222222226E-4</v>
      </c>
      <c r="M16" s="3">
        <f>IF(Table1225[[#This Row],[run 1 times]]="",999.99,IF(Table1225[[#This Row],[run 1 times]]=$S$3,0,MAX(0,ROUND(((Table1225[[#This Row],[run 1 times]]-$S$3)/$S$3)*$S$6,2))))</f>
        <v>187.22</v>
      </c>
      <c r="N16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6.9976851851851851E-4</v>
      </c>
      <c r="O16" s="3">
        <f>IF(Table1225[[#This Row],[run2 times]]="",999.99,IF(Table1225[[#This Row],[run2 times]]=$T$3,0,MAX(0,ROUND(((Table1225[[#This Row],[run2 times]]-$T$3)/$T$3)*$S$6,2))))</f>
        <v>187.78</v>
      </c>
      <c r="P16" s="2">
        <f>IF(OR(Table1225[[#This Row],[run 1 times]]="",Table1225[[#This Row],[run2 times]]=""),"",Table1225[[#This Row],[run 1 times]]+Table1225[[#This Row],[run2 times]])</f>
        <v>1.3751157407407408E-3</v>
      </c>
      <c r="Q16" s="3">
        <f>IF(Table1225[[#This Row],[total time]]="",999.99,IF(Table1225[[#This Row],[total time]]=$U$3,0,MAX(0,ROUND(((Table1225[[#This Row],[total time]]-$U$3)/$U$3)*$S$6,2))))</f>
        <v>187.5</v>
      </c>
      <c r="W16">
        <v>29</v>
      </c>
      <c r="X16">
        <v>72</v>
      </c>
      <c r="Y16" t="s">
        <v>479</v>
      </c>
      <c r="Z16" t="s">
        <v>547</v>
      </c>
      <c r="AA16" t="s">
        <v>561</v>
      </c>
      <c r="AB16">
        <v>2011</v>
      </c>
      <c r="AC16" s="1" t="s">
        <v>512</v>
      </c>
      <c r="AD16" s="1">
        <v>49.85</v>
      </c>
      <c r="AE16" s="1"/>
      <c r="AG16">
        <v>101426</v>
      </c>
      <c r="AH16" s="2" t="str">
        <f>_xlfn.LET(_xlpm.x,Table122128[[#This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16" s="3">
        <f>IF(Table122128[[#This Row],[run 1 times]]="",999.99,IF(Table122128[[#This Row],[run 1 times]]=$AO$3,0,MAX(0,ROUND(((Table122128[[#This Row],[run 1 times]]-$AO$3)/$AO$3)*$AO$6,2))))</f>
        <v>999.99</v>
      </c>
      <c r="AJ16" s="2">
        <f>_xlfn.LET(_xlpm.x,Table122128[[#This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5.7696759259259257E-4</v>
      </c>
      <c r="AK16" s="3">
        <f>IF(Table122128[[#This Row],[run2 times]]="",999.99,IF(Table122128[[#This Row],[run2 times]]=$AP$3,0,MAX(0,ROUND(((Table122128[[#This Row],[run2 times]]-$AP$3)/$AP$3)*$AO$6,2))))</f>
        <v>95.18</v>
      </c>
      <c r="AL16" s="2" t="str">
        <f>IF(OR(Table122128[[#This Row],[run 1 times]]="",Table122128[[#This Row],[run2 times]]=""),"",Table122128[[#This Row],[run 1 times]]+Table122128[[#This Row],[run2 times]])</f>
        <v/>
      </c>
      <c r="AM16" s="3">
        <f>IF(Table122128[[#This Row],[total time]]="",999.99,IF(Table122128[[#This Row],[total time]]=$AQ$3,0,MAX(0,ROUND(((Table122128[[#This Row],[total time]]-$AQ$3)/$AQ$3)*$AO$6,2))))</f>
        <v>999.99</v>
      </c>
    </row>
    <row r="17" spans="1:39" x14ac:dyDescent="0.3">
      <c r="A17">
        <v>4</v>
      </c>
      <c r="B17">
        <v>32</v>
      </c>
      <c r="C17" t="s">
        <v>257</v>
      </c>
      <c r="D17" t="s">
        <v>522</v>
      </c>
      <c r="E17" t="s">
        <v>542</v>
      </c>
      <c r="F17">
        <v>2013</v>
      </c>
      <c r="G17" s="1">
        <v>58.5</v>
      </c>
      <c r="H17" s="1">
        <v>7.3194444444444446E-4</v>
      </c>
      <c r="I17" s="1">
        <v>1.4090277777777777E-3</v>
      </c>
      <c r="K17">
        <v>118512</v>
      </c>
      <c r="L17" s="2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6.7708333333333336E-4</v>
      </c>
      <c r="M17" s="3">
        <f>IF(Table1225[[#This Row],[run 1 times]]="",999.99,IF(Table1225[[#This Row],[run 1 times]]=$S$3,0,MAX(0,ROUND(((Table1225[[#This Row],[run 1 times]]-$S$3)/$S$3)*$S$6,2))))</f>
        <v>189.57</v>
      </c>
      <c r="N17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7.3194444444444446E-4</v>
      </c>
      <c r="O17" s="3">
        <f>IF(Table1225[[#This Row],[run2 times]]="",999.99,IF(Table1225[[#This Row],[run2 times]]=$T$3,0,MAX(0,ROUND(((Table1225[[#This Row],[run2 times]]-$T$3)/$T$3)*$S$6,2))))</f>
        <v>229.98</v>
      </c>
      <c r="P17" s="2">
        <f>IF(OR(Table1225[[#This Row],[run 1 times]]="",Table1225[[#This Row],[run2 times]]=""),"",Table1225[[#This Row],[run 1 times]]+Table1225[[#This Row],[run2 times]])</f>
        <v>1.4090277777777777E-3</v>
      </c>
      <c r="Q17" s="3">
        <f>IF(Table1225[[#This Row],[total time]]="",999.99,IF(Table1225[[#This Row],[total time]]=$U$3,0,MAX(0,ROUND(((Table1225[[#This Row],[total time]]-$U$3)/$U$3)*$S$6,2))))</f>
        <v>210.13</v>
      </c>
      <c r="W17">
        <v>30</v>
      </c>
      <c r="X17">
        <v>73</v>
      </c>
      <c r="Y17" t="s">
        <v>24</v>
      </c>
      <c r="Z17" t="s">
        <v>547</v>
      </c>
      <c r="AA17" t="s">
        <v>562</v>
      </c>
      <c r="AB17">
        <v>2011</v>
      </c>
      <c r="AC17" s="1" t="s">
        <v>512</v>
      </c>
      <c r="AD17" s="1">
        <v>55.79</v>
      </c>
      <c r="AE17" s="1"/>
      <c r="AG17">
        <v>104665</v>
      </c>
      <c r="AH17" s="2" t="str">
        <f>_xlfn.LET(_xlpm.x,Table122128[[#This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17" s="3">
        <f>IF(Table122128[[#This Row],[run 1 times]]="",999.99,IF(Table122128[[#This Row],[run 1 times]]=$AO$3,0,MAX(0,ROUND(((Table122128[[#This Row],[run 1 times]]-$AO$3)/$AO$3)*$AO$6,2))))</f>
        <v>999.99</v>
      </c>
      <c r="AJ17" s="2">
        <f>_xlfn.LET(_xlpm.x,Table122128[[#This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6.4571759259259259E-4</v>
      </c>
      <c r="AK17" s="3">
        <f>IF(Table122128[[#This Row],[run2 times]]="",999.99,IF(Table122128[[#This Row],[run2 times]]=$AP$3,0,MAX(0,ROUND(((Table122128[[#This Row],[run2 times]]-$AP$3)/$AP$3)*$AO$6,2))))</f>
        <v>193.51</v>
      </c>
      <c r="AL17" s="2" t="str">
        <f>IF(OR(Table122128[[#This Row],[run 1 times]]="",Table122128[[#This Row],[run2 times]]=""),"",Table122128[[#This Row],[run 1 times]]+Table122128[[#This Row],[run2 times]])</f>
        <v/>
      </c>
      <c r="AM17" s="3">
        <f>IF(Table122128[[#This Row],[total time]]="",999.99,IF(Table122128[[#This Row],[total time]]=$AQ$3,0,MAX(0,ROUND(((Table122128[[#This Row],[total time]]-$AQ$3)/$AQ$3)*$AO$6,2))))</f>
        <v>999.99</v>
      </c>
    </row>
    <row r="18" spans="1:39" x14ac:dyDescent="0.3">
      <c r="A18">
        <v>7</v>
      </c>
      <c r="B18">
        <v>35</v>
      </c>
      <c r="C18" t="s">
        <v>479</v>
      </c>
      <c r="D18" t="s">
        <v>522</v>
      </c>
      <c r="E18" t="s">
        <v>541</v>
      </c>
      <c r="F18">
        <v>2013</v>
      </c>
      <c r="G18" s="1">
        <v>58.97</v>
      </c>
      <c r="H18" s="1">
        <v>7.1840277777777777E-4</v>
      </c>
      <c r="I18" s="1">
        <v>1.4009259259259259E-3</v>
      </c>
      <c r="K18">
        <v>103278</v>
      </c>
      <c r="L18" s="2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6.8252314814814814E-4</v>
      </c>
      <c r="M18" s="3">
        <f>IF(Table1225[[#This Row],[run 1 times]]="",999.99,IF(Table1225[[#This Row],[run 1 times]]=$S$3,0,MAX(0,ROUND(((Table1225[[#This Row],[run 1 times]]-$S$3)/$S$3)*$S$6,2))))</f>
        <v>196.96</v>
      </c>
      <c r="N18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7.1840277777777777E-4</v>
      </c>
      <c r="O18" s="3">
        <f>IF(Table1225[[#This Row],[run2 times]]="",999.99,IF(Table1225[[#This Row],[run2 times]]=$T$3,0,MAX(0,ROUND(((Table1225[[#This Row],[run2 times]]-$T$3)/$T$3)*$S$6,2))))</f>
        <v>212.21</v>
      </c>
      <c r="P18" s="2">
        <f>IF(OR(Table1225[[#This Row],[run 1 times]]="",Table1225[[#This Row],[run2 times]]=""),"",Table1225[[#This Row],[run 1 times]]+Table1225[[#This Row],[run2 times]])</f>
        <v>1.4009259259259259E-3</v>
      </c>
      <c r="Q18" s="3">
        <f>IF(Table1225[[#This Row],[total time]]="",999.99,IF(Table1225[[#This Row],[total time]]=$U$3,0,MAX(0,ROUND(((Table1225[[#This Row],[total time]]-$U$3)/$U$3)*$S$6,2))))</f>
        <v>204.72</v>
      </c>
      <c r="W18">
        <v>31</v>
      </c>
      <c r="X18">
        <v>74</v>
      </c>
      <c r="Y18" t="s">
        <v>479</v>
      </c>
      <c r="Z18" t="s">
        <v>547</v>
      </c>
      <c r="AA18" t="s">
        <v>563</v>
      </c>
      <c r="AB18">
        <v>2010</v>
      </c>
      <c r="AC18" s="1" t="s">
        <v>512</v>
      </c>
      <c r="AD18" s="1">
        <v>55.17</v>
      </c>
      <c r="AE18" s="1"/>
      <c r="AG18">
        <v>102356</v>
      </c>
      <c r="AH18" s="2" t="str">
        <f>_xlfn.LET(_xlpm.x,Table122128[[#This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18" s="3">
        <f>IF(Table122128[[#This Row],[run 1 times]]="",999.99,IF(Table122128[[#This Row],[run 1 times]]=$AO$3,0,MAX(0,ROUND(((Table122128[[#This Row],[run 1 times]]-$AO$3)/$AO$3)*$AO$6,2))))</f>
        <v>999.99</v>
      </c>
      <c r="AJ18" s="2">
        <f>_xlfn.LET(_xlpm.x,Table122128[[#This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6.3854166666666671E-4</v>
      </c>
      <c r="AK18" s="3">
        <f>IF(Table122128[[#This Row],[run2 times]]="",999.99,IF(Table122128[[#This Row],[run2 times]]=$AP$3,0,MAX(0,ROUND(((Table122128[[#This Row],[run2 times]]-$AP$3)/$AP$3)*$AO$6,2))))</f>
        <v>183.24</v>
      </c>
      <c r="AL18" s="2" t="str">
        <f>IF(OR(Table122128[[#This Row],[run 1 times]]="",Table122128[[#This Row],[run2 times]]=""),"",Table122128[[#This Row],[run 1 times]]+Table122128[[#This Row],[run2 times]])</f>
        <v/>
      </c>
      <c r="AM18" s="3">
        <f>IF(Table122128[[#This Row],[total time]]="",999.99,IF(Table122128[[#This Row],[total time]]=$AQ$3,0,MAX(0,ROUND(((Table122128[[#This Row],[total time]]-$AQ$3)/$AQ$3)*$AO$6,2))))</f>
        <v>999.99</v>
      </c>
    </row>
    <row r="19" spans="1:39" x14ac:dyDescent="0.3">
      <c r="A19">
        <v>50</v>
      </c>
      <c r="B19">
        <v>22</v>
      </c>
      <c r="C19" t="s">
        <v>223</v>
      </c>
      <c r="D19" t="s">
        <v>480</v>
      </c>
      <c r="E19" t="s">
        <v>483</v>
      </c>
      <c r="F19">
        <v>2015</v>
      </c>
      <c r="G19" s="1">
        <v>7.1504629629629631E-4</v>
      </c>
      <c r="H19" s="1">
        <v>7.2002314814814813E-4</v>
      </c>
      <c r="I19" s="1">
        <v>1.4350694444444443E-3</v>
      </c>
      <c r="K19">
        <v>111248</v>
      </c>
      <c r="L19" s="2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7.1504629629629631E-4</v>
      </c>
      <c r="M19" s="3">
        <f>IF(Table1225[[#This Row],[run 1 times]]="",999.99,IF(Table1225[[#This Row],[run 1 times]]=$S$3,0,MAX(0,ROUND(((Table1225[[#This Row],[run 1 times]]-$S$3)/$S$3)*$S$6,2))))</f>
        <v>241.13</v>
      </c>
      <c r="N19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7.2002314814814813E-4</v>
      </c>
      <c r="O19" s="3">
        <f>IF(Table1225[[#This Row],[run2 times]]="",999.99,IF(Table1225[[#This Row],[run2 times]]=$T$3,0,MAX(0,ROUND(((Table1225[[#This Row],[run2 times]]-$T$3)/$T$3)*$S$6,2))))</f>
        <v>214.34</v>
      </c>
      <c r="P19" s="2">
        <f>IF(OR(Table1225[[#This Row],[run 1 times]]="",Table1225[[#This Row],[run2 times]]=""),"",Table1225[[#This Row],[run 1 times]]+Table1225[[#This Row],[run2 times]])</f>
        <v>1.4350694444444445E-3</v>
      </c>
      <c r="Q19" s="3">
        <f>IF(Table1225[[#This Row],[total time]]="",999.99,IF(Table1225[[#This Row],[total time]]=$U$3,0,MAX(0,ROUND(((Table1225[[#This Row],[total time]]-$U$3)/$U$3)*$S$6,2))))</f>
        <v>227.5</v>
      </c>
      <c r="W19">
        <v>1</v>
      </c>
      <c r="X19">
        <v>75</v>
      </c>
      <c r="Y19" t="s">
        <v>24</v>
      </c>
      <c r="Z19" t="s">
        <v>547</v>
      </c>
      <c r="AA19" t="s">
        <v>564</v>
      </c>
      <c r="AB19">
        <v>2011</v>
      </c>
      <c r="AC19" s="1">
        <v>7.3067129629629632E-4</v>
      </c>
      <c r="AD19" s="1">
        <v>7.0104166666666665E-4</v>
      </c>
      <c r="AE19" s="1">
        <v>1.431712962962963E-3</v>
      </c>
      <c r="AG19">
        <v>89072</v>
      </c>
      <c r="AH19" s="2">
        <f>_xlfn.LET(_xlpm.x,Table122128[[#This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7.3067129629629632E-4</v>
      </c>
      <c r="AI19" s="3">
        <f>IF(Table122128[[#This Row],[run 1 times]]="",999.99,IF(Table122128[[#This Row],[run 1 times]]=$AO$3,0,MAX(0,ROUND(((Table122128[[#This Row],[run 1 times]]-$AO$3)/$AO$3)*$AO$6,2))))</f>
        <v>189.86</v>
      </c>
      <c r="AJ19" s="2">
        <f>_xlfn.LET(_xlpm.x,Table122128[[#This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7.0104166666666665E-4</v>
      </c>
      <c r="AK19" s="3">
        <f>IF(Table122128[[#This Row],[run2 times]]="",999.99,IF(Table122128[[#This Row],[run2 times]]=$AP$3,0,MAX(0,ROUND(((Table122128[[#This Row],[run2 times]]-$AP$3)/$AP$3)*$AO$6,2))))</f>
        <v>272.63</v>
      </c>
      <c r="AL19" s="2">
        <f>IF(OR(Table122128[[#This Row],[run 1 times]]="",Table122128[[#This Row],[run2 times]]=""),"",Table122128[[#This Row],[run 1 times]]+Table122128[[#This Row],[run2 times]])</f>
        <v>1.431712962962963E-3</v>
      </c>
      <c r="AM19" s="3">
        <f>IF(Table122128[[#This Row],[total time]]="",999.99,IF(Table122128[[#This Row],[total time]]=$AQ$3,0,MAX(0,ROUND(((Table122128[[#This Row],[total time]]-$AQ$3)/$AQ$3)*$AO$6,2))))</f>
        <v>224.25</v>
      </c>
    </row>
    <row r="20" spans="1:39" x14ac:dyDescent="0.3">
      <c r="A20">
        <v>37</v>
      </c>
      <c r="B20">
        <v>9</v>
      </c>
      <c r="C20" t="s">
        <v>24</v>
      </c>
      <c r="D20" t="s">
        <v>522</v>
      </c>
      <c r="E20" t="s">
        <v>533</v>
      </c>
      <c r="F20">
        <v>2013</v>
      </c>
      <c r="G20" s="1">
        <v>7.1631944444444445E-4</v>
      </c>
      <c r="H20" s="1">
        <v>7.0104166666666665E-4</v>
      </c>
      <c r="I20" s="1">
        <v>1.417361111111111E-3</v>
      </c>
      <c r="K20">
        <v>104666</v>
      </c>
      <c r="L20" s="2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7.1631944444444445E-4</v>
      </c>
      <c r="M20" s="3">
        <f>IF(Table1225[[#This Row],[run 1 times]]="",999.99,IF(Table1225[[#This Row],[run 1 times]]=$S$3,0,MAX(0,ROUND(((Table1225[[#This Row],[run 1 times]]-$S$3)/$S$3)*$S$6,2))))</f>
        <v>242.86</v>
      </c>
      <c r="N20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7.0104166666666665E-4</v>
      </c>
      <c r="O20" s="3">
        <f>IF(Table1225[[#This Row],[run2 times]]="",999.99,IF(Table1225[[#This Row],[run2 times]]=$T$3,0,MAX(0,ROUND(((Table1225[[#This Row],[run2 times]]-$T$3)/$T$3)*$S$6,2))))</f>
        <v>189.44</v>
      </c>
      <c r="P20" s="2">
        <f>IF(OR(Table1225[[#This Row],[run 1 times]]="",Table1225[[#This Row],[run2 times]]=""),"",Table1225[[#This Row],[run 1 times]]+Table1225[[#This Row],[run2 times]])</f>
        <v>1.417361111111111E-3</v>
      </c>
      <c r="Q20" s="3">
        <f>IF(Table1225[[#This Row],[total time]]="",999.99,IF(Table1225[[#This Row],[total time]]=$U$3,0,MAX(0,ROUND(((Table1225[[#This Row],[total time]]-$U$3)/$U$3)*$S$6,2))))</f>
        <v>215.69</v>
      </c>
      <c r="W20">
        <v>2</v>
      </c>
      <c r="X20">
        <v>76</v>
      </c>
      <c r="Y20" t="s">
        <v>24</v>
      </c>
      <c r="Z20" t="s">
        <v>547</v>
      </c>
      <c r="AA20" t="s">
        <v>565</v>
      </c>
      <c r="AB20">
        <v>2011</v>
      </c>
      <c r="AC20" s="1">
        <v>53.86</v>
      </c>
      <c r="AD20" s="1">
        <v>47.52</v>
      </c>
      <c r="AE20" s="1">
        <v>1.1733796296296295E-3</v>
      </c>
      <c r="AG20">
        <v>89752</v>
      </c>
      <c r="AH20" s="2">
        <f>_xlfn.LET(_xlpm.x,Table122128[[#This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6.2337962962962965E-4</v>
      </c>
      <c r="AI20" s="3">
        <f>IF(Table122128[[#This Row],[run 1 times]]="",999.99,IF(Table122128[[#This Row],[run 1 times]]=$AO$3,0,MAX(0,ROUND(((Table122128[[#This Row],[run 1 times]]-$AO$3)/$AO$3)*$AO$6,2))))</f>
        <v>54.79</v>
      </c>
      <c r="AJ20" s="2">
        <f>_xlfn.LET(_xlpm.x,Table122128[[#This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5.5000000000000003E-4</v>
      </c>
      <c r="AK20" s="3">
        <f>IF(Table122128[[#This Row],[run2 times]]="",999.99,IF(Table122128[[#This Row],[run2 times]]=$AP$3,0,MAX(0,ROUND(((Table122128[[#This Row],[run2 times]]-$AP$3)/$AP$3)*$AO$6,2))))</f>
        <v>56.61</v>
      </c>
      <c r="AL20" s="2">
        <f>IF(OR(Table122128[[#This Row],[run 1 times]]="",Table122128[[#This Row],[run2 times]]=""),"",Table122128[[#This Row],[run 1 times]]+Table122128[[#This Row],[run2 times]])</f>
        <v>1.1733796296296297E-3</v>
      </c>
      <c r="AM20" s="3">
        <f>IF(Table122128[[#This Row],[total time]]="",999.99,IF(Table122128[[#This Row],[total time]]=$AQ$3,0,MAX(0,ROUND(((Table122128[[#This Row],[total time]]-$AQ$3)/$AQ$3)*$AO$6,2))))</f>
        <v>52.07</v>
      </c>
    </row>
    <row r="21" spans="1:39" x14ac:dyDescent="0.3">
      <c r="A21">
        <v>32</v>
      </c>
      <c r="B21">
        <v>4</v>
      </c>
      <c r="C21" t="s">
        <v>487</v>
      </c>
      <c r="D21" t="s">
        <v>480</v>
      </c>
      <c r="E21" t="s">
        <v>488</v>
      </c>
      <c r="F21">
        <v>2014</v>
      </c>
      <c r="G21" s="1">
        <v>7.3287037037037038E-4</v>
      </c>
      <c r="H21" s="1">
        <v>7.291666666666667E-4</v>
      </c>
      <c r="I21" s="1">
        <v>1.4620370370370369E-3</v>
      </c>
      <c r="K21">
        <v>108842</v>
      </c>
      <c r="L21" s="2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7.3287037037037038E-4</v>
      </c>
      <c r="M21" s="3">
        <f>IF(Table1225[[#This Row],[run 1 times]]="",999.99,IF(Table1225[[#This Row],[run 1 times]]=$S$3,0,MAX(0,ROUND(((Table1225[[#This Row],[run 1 times]]-$S$3)/$S$3)*$S$6,2))))</f>
        <v>265.33999999999997</v>
      </c>
      <c r="N21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7.291666666666667E-4</v>
      </c>
      <c r="O21" s="3">
        <f>IF(Table1225[[#This Row],[run2 times]]="",999.99,IF(Table1225[[#This Row],[run2 times]]=$T$3,0,MAX(0,ROUND(((Table1225[[#This Row],[run2 times]]-$T$3)/$T$3)*$S$6,2))))</f>
        <v>226.33</v>
      </c>
      <c r="P21" s="2">
        <f>IF(OR(Table1225[[#This Row],[run 1 times]]="",Table1225[[#This Row],[run2 times]]=""),"",Table1225[[#This Row],[run 1 times]]+Table1225[[#This Row],[run2 times]])</f>
        <v>1.4620370370370371E-3</v>
      </c>
      <c r="Q21" s="3">
        <f>IF(Table1225[[#This Row],[total time]]="",999.99,IF(Table1225[[#This Row],[total time]]=$U$3,0,MAX(0,ROUND(((Table1225[[#This Row],[total time]]-$U$3)/$U$3)*$S$6,2))))</f>
        <v>245.5</v>
      </c>
      <c r="W21">
        <v>3</v>
      </c>
      <c r="X21">
        <v>77</v>
      </c>
      <c r="Y21" t="s">
        <v>479</v>
      </c>
      <c r="Z21" t="s">
        <v>547</v>
      </c>
      <c r="AA21" t="s">
        <v>566</v>
      </c>
      <c r="AB21">
        <v>2010</v>
      </c>
      <c r="AC21" s="1">
        <v>56.72</v>
      </c>
      <c r="AD21" s="1">
        <v>51.4</v>
      </c>
      <c r="AE21" s="1">
        <v>1.2513888888888889E-3</v>
      </c>
      <c r="AG21">
        <v>89868</v>
      </c>
      <c r="AH21" s="2">
        <f>_xlfn.LET(_xlpm.x,Table122128[[#This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6.5648148148148152E-4</v>
      </c>
      <c r="AI21" s="3">
        <f>IF(Table122128[[#This Row],[run 1 times]]="",999.99,IF(Table122128[[#This Row],[run 1 times]]=$AO$3,0,MAX(0,ROUND(((Table122128[[#This Row],[run 1 times]]-$AO$3)/$AO$3)*$AO$6,2))))</f>
        <v>96.46</v>
      </c>
      <c r="AJ21" s="2">
        <f>_xlfn.LET(_xlpm.x,Table122128[[#This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5.9490740740740739E-4</v>
      </c>
      <c r="AK21" s="3">
        <f>IF(Table122128[[#This Row],[run2 times]]="",999.99,IF(Table122128[[#This Row],[run2 times]]=$AP$3,0,MAX(0,ROUND(((Table122128[[#This Row],[run2 times]]-$AP$3)/$AP$3)*$AO$6,2))))</f>
        <v>120.84</v>
      </c>
      <c r="AL21" s="2">
        <f>IF(OR(Table122128[[#This Row],[run 1 times]]="",Table122128[[#This Row],[run2 times]]=""),"",Table122128[[#This Row],[run 1 times]]+Table122128[[#This Row],[run2 times]])</f>
        <v>1.2513888888888889E-3</v>
      </c>
      <c r="AM21" s="3">
        <f>IF(Table122128[[#This Row],[total time]]="",999.99,IF(Table122128[[#This Row],[total time]]=$AQ$3,0,MAX(0,ROUND(((Table122128[[#This Row],[total time]]-$AQ$3)/$AQ$3)*$AO$6,2))))</f>
        <v>104.07</v>
      </c>
    </row>
    <row r="22" spans="1:39" x14ac:dyDescent="0.3">
      <c r="A22">
        <v>29</v>
      </c>
      <c r="B22">
        <v>1</v>
      </c>
      <c r="C22" t="s">
        <v>479</v>
      </c>
      <c r="D22" t="s">
        <v>480</v>
      </c>
      <c r="E22" t="s">
        <v>482</v>
      </c>
      <c r="F22">
        <v>2014</v>
      </c>
      <c r="G22" s="1">
        <v>7.332175925925926E-4</v>
      </c>
      <c r="H22" s="1">
        <v>7.2187499999999997E-4</v>
      </c>
      <c r="I22" s="1">
        <v>1.4550925925925927E-3</v>
      </c>
      <c r="K22">
        <v>107098</v>
      </c>
      <c r="L22" s="2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7.332175925925926E-4</v>
      </c>
      <c r="M22" s="3">
        <f>IF(Table1225[[#This Row],[run 1 times]]="",999.99,IF(Table1225[[#This Row],[run 1 times]]=$S$3,0,MAX(0,ROUND(((Table1225[[#This Row],[run 1 times]]-$S$3)/$S$3)*$S$6,2))))</f>
        <v>265.81</v>
      </c>
      <c r="N22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7.2187499999999997E-4</v>
      </c>
      <c r="O22" s="3">
        <f>IF(Table1225[[#This Row],[run2 times]]="",999.99,IF(Table1225[[#This Row],[run2 times]]=$T$3,0,MAX(0,ROUND(((Table1225[[#This Row],[run2 times]]-$T$3)/$T$3)*$S$6,2))))</f>
        <v>216.77</v>
      </c>
      <c r="P22" s="2">
        <f>IF(OR(Table1225[[#This Row],[run 1 times]]="",Table1225[[#This Row],[run2 times]]=""),"",Table1225[[#This Row],[run 1 times]]+Table1225[[#This Row],[run2 times]])</f>
        <v>1.4550925925925925E-3</v>
      </c>
      <c r="Q22" s="3">
        <f>IF(Table1225[[#This Row],[total time]]="",999.99,IF(Table1225[[#This Row],[total time]]=$U$3,0,MAX(0,ROUND(((Table1225[[#This Row],[total time]]-$U$3)/$U$3)*$S$6,2))))</f>
        <v>240.86</v>
      </c>
      <c r="W22">
        <v>5</v>
      </c>
      <c r="X22">
        <v>79</v>
      </c>
      <c r="Y22" t="s">
        <v>257</v>
      </c>
      <c r="Z22" t="s">
        <v>552</v>
      </c>
      <c r="AA22" t="s">
        <v>567</v>
      </c>
      <c r="AB22">
        <v>2009</v>
      </c>
      <c r="AC22" s="1">
        <v>7.6215277777777772E-4</v>
      </c>
      <c r="AD22" s="1">
        <v>7.081018518518518E-4</v>
      </c>
      <c r="AE22" s="1">
        <v>1.4702546296296297E-3</v>
      </c>
      <c r="AG22">
        <v>117692</v>
      </c>
      <c r="AH22" s="2">
        <f>_xlfn.LET(_xlpm.x,Table122128[[#This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7.6215277777777772E-4</v>
      </c>
      <c r="AI22" s="3">
        <f>IF(Table122128[[#This Row],[run 1 times]]="",999.99,IF(Table122128[[#This Row],[run 1 times]]=$AO$3,0,MAX(0,ROUND(((Table122128[[#This Row],[run 1 times]]-$AO$3)/$AO$3)*$AO$6,2))))</f>
        <v>229.49</v>
      </c>
      <c r="AJ22" s="2">
        <f>_xlfn.LET(_xlpm.x,Table122128[[#This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7.081018518518518E-4</v>
      </c>
      <c r="AK22" s="3">
        <f>IF(Table122128[[#This Row],[run2 times]]="",999.99,IF(Table122128[[#This Row],[run2 times]]=$AP$3,0,MAX(0,ROUND(((Table122128[[#This Row],[run2 times]]-$AP$3)/$AP$3)*$AO$6,2))))</f>
        <v>282.73</v>
      </c>
      <c r="AL22" s="2">
        <f>IF(OR(Table122128[[#This Row],[run 1 times]]="",Table122128[[#This Row],[run2 times]]=""),"",Table122128[[#This Row],[run 1 times]]+Table122128[[#This Row],[run2 times]])</f>
        <v>1.4702546296296295E-3</v>
      </c>
      <c r="AM22" s="3">
        <f>IF(Table122128[[#This Row],[total time]]="",999.99,IF(Table122128[[#This Row],[total time]]=$AQ$3,0,MAX(0,ROUND(((Table122128[[#This Row],[total time]]-$AQ$3)/$AQ$3)*$AO$6,2))))</f>
        <v>249.94</v>
      </c>
    </row>
    <row r="23" spans="1:39" x14ac:dyDescent="0.3">
      <c r="A23">
        <v>20</v>
      </c>
      <c r="B23">
        <v>48</v>
      </c>
      <c r="C23" t="s">
        <v>479</v>
      </c>
      <c r="D23" t="s">
        <v>480</v>
      </c>
      <c r="E23" t="s">
        <v>494</v>
      </c>
      <c r="F23">
        <v>2014</v>
      </c>
      <c r="G23" s="1">
        <v>7.4479166666666661E-4</v>
      </c>
      <c r="H23" s="1">
        <v>7.8206018518518512E-4</v>
      </c>
      <c r="I23" s="1">
        <v>1.5268518518518517E-3</v>
      </c>
      <c r="K23">
        <v>110041</v>
      </c>
      <c r="L23" s="2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7.4479166666666661E-4</v>
      </c>
      <c r="M23" s="3">
        <f>IF(Table1225[[#This Row],[run 1 times]]="",999.99,IF(Table1225[[#This Row],[run 1 times]]=$S$3,0,MAX(0,ROUND(((Table1225[[#This Row],[run 1 times]]-$S$3)/$S$3)*$S$6,2))))</f>
        <v>281.52999999999997</v>
      </c>
      <c r="N23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7.8206018518518512E-4</v>
      </c>
      <c r="O23" s="3">
        <f>IF(Table1225[[#This Row],[run2 times]]="",999.99,IF(Table1225[[#This Row],[run2 times]]=$T$3,0,MAX(0,ROUND(((Table1225[[#This Row],[run2 times]]-$T$3)/$T$3)*$S$6,2))))</f>
        <v>295.7</v>
      </c>
      <c r="P23" s="2">
        <f>IF(OR(Table1225[[#This Row],[run 1 times]]="",Table1225[[#This Row],[run2 times]]=""),"",Table1225[[#This Row],[run 1 times]]+Table1225[[#This Row],[run2 times]])</f>
        <v>1.5268518518518517E-3</v>
      </c>
      <c r="Q23" s="3">
        <f>IF(Table1225[[#This Row],[total time]]="",999.99,IF(Table1225[[#This Row],[total time]]=$U$3,0,MAX(0,ROUND(((Table1225[[#This Row],[total time]]-$U$3)/$U$3)*$S$6,2))))</f>
        <v>288.74</v>
      </c>
      <c r="W23">
        <v>6</v>
      </c>
      <c r="X23">
        <v>80</v>
      </c>
      <c r="Y23" t="s">
        <v>24</v>
      </c>
      <c r="Z23" t="s">
        <v>547</v>
      </c>
      <c r="AA23" t="s">
        <v>568</v>
      </c>
      <c r="AB23">
        <v>2010</v>
      </c>
      <c r="AC23" s="1">
        <v>56.55</v>
      </c>
      <c r="AD23" s="1">
        <v>50</v>
      </c>
      <c r="AE23" s="1">
        <v>1.2332175925925926E-3</v>
      </c>
      <c r="AG23">
        <v>104647</v>
      </c>
      <c r="AH23" s="2">
        <f>_xlfn.LET(_xlpm.x,Table122128[[#This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6.5451388888888883E-4</v>
      </c>
      <c r="AI23" s="3">
        <f>IF(Table122128[[#This Row],[run 1 times]]="",999.99,IF(Table122128[[#This Row],[run 1 times]]=$AO$3,0,MAX(0,ROUND(((Table122128[[#This Row],[run 1 times]]-$AO$3)/$AO$3)*$AO$6,2))))</f>
        <v>93.98</v>
      </c>
      <c r="AJ23" s="2">
        <f>_xlfn.LET(_xlpm.x,Table122128[[#This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5.7870370370370367E-4</v>
      </c>
      <c r="AK23" s="3">
        <f>IF(Table122128[[#This Row],[run2 times]]="",999.99,IF(Table122128[[#This Row],[run2 times]]=$AP$3,0,MAX(0,ROUND(((Table122128[[#This Row],[run2 times]]-$AP$3)/$AP$3)*$AO$6,2))))</f>
        <v>97.66</v>
      </c>
      <c r="AL23" s="2">
        <f>IF(OR(Table122128[[#This Row],[run 1 times]]="",Table122128[[#This Row],[run2 times]]=""),"",Table122128[[#This Row],[run 1 times]]+Table122128[[#This Row],[run2 times]])</f>
        <v>1.2332175925925926E-3</v>
      </c>
      <c r="AM23" s="3">
        <f>IF(Table122128[[#This Row],[total time]]="",999.99,IF(Table122128[[#This Row],[total time]]=$AQ$3,0,MAX(0,ROUND(((Table122128[[#This Row],[total time]]-$AQ$3)/$AQ$3)*$AO$6,2))))</f>
        <v>91.95</v>
      </c>
    </row>
    <row r="24" spans="1:39" x14ac:dyDescent="0.3">
      <c r="A24">
        <v>1</v>
      </c>
      <c r="B24">
        <v>29</v>
      </c>
      <c r="C24" t="s">
        <v>257</v>
      </c>
      <c r="D24" t="s">
        <v>480</v>
      </c>
      <c r="E24" t="s">
        <v>496</v>
      </c>
      <c r="F24">
        <v>2014</v>
      </c>
      <c r="G24" s="1">
        <v>7.5034722222222224E-4</v>
      </c>
      <c r="H24" s="1" t="s">
        <v>512</v>
      </c>
      <c r="I24" s="1"/>
      <c r="K24">
        <v>120660</v>
      </c>
      <c r="L24" s="2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7.5034722222222224E-4</v>
      </c>
      <c r="M24" s="3">
        <f>IF(Table1225[[#This Row],[run 1 times]]="",999.99,IF(Table1225[[#This Row],[run 1 times]]=$S$3,0,MAX(0,ROUND(((Table1225[[#This Row],[run 1 times]]-$S$3)/$S$3)*$S$6,2))))</f>
        <v>289.08</v>
      </c>
      <c r="N24" s="2" t="str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24" s="3">
        <f>IF(Table1225[[#This Row],[run2 times]]="",999.99,IF(Table1225[[#This Row],[run2 times]]=$T$3,0,MAX(0,ROUND(((Table1225[[#This Row],[run2 times]]-$T$3)/$T$3)*$S$6,2))))</f>
        <v>999.99</v>
      </c>
      <c r="P24" s="2" t="str">
        <f>IF(OR(Table1225[[#This Row],[run 1 times]]="",Table1225[[#This Row],[run2 times]]=""),"",Table1225[[#This Row],[run 1 times]]+Table1225[[#This Row],[run2 times]])</f>
        <v/>
      </c>
      <c r="Q24" s="3">
        <f>IF(Table1225[[#This Row],[total time]]="",999.99,IF(Table1225[[#This Row],[total time]]=$U$3,0,MAX(0,ROUND(((Table1225[[#This Row],[total time]]-$U$3)/$U$3)*$S$6,2))))</f>
        <v>999.99</v>
      </c>
      <c r="W24">
        <v>7</v>
      </c>
      <c r="X24">
        <v>81</v>
      </c>
      <c r="Y24" t="s">
        <v>223</v>
      </c>
      <c r="Z24" t="s">
        <v>552</v>
      </c>
      <c r="AA24" t="s">
        <v>569</v>
      </c>
      <c r="AB24">
        <v>2008</v>
      </c>
      <c r="AC24" s="1">
        <v>51.45</v>
      </c>
      <c r="AD24" s="1">
        <v>45.44</v>
      </c>
      <c r="AE24" s="1">
        <v>1.1214120370370371E-3</v>
      </c>
      <c r="AG24">
        <v>85061</v>
      </c>
      <c r="AH24" s="2">
        <f>_xlfn.LET(_xlpm.x,Table122128[[#This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5.9548611111111119E-4</v>
      </c>
      <c r="AI24" s="3">
        <f>IF(Table122128[[#This Row],[run 1 times]]="",999.99,IF(Table122128[[#This Row],[run 1 times]]=$AO$3,0,MAX(0,ROUND(((Table122128[[#This Row],[run 1 times]]-$AO$3)/$AO$3)*$AO$6,2))))</f>
        <v>19.670000000000002</v>
      </c>
      <c r="AJ24" s="2">
        <f>_xlfn.LET(_xlpm.x,Table122128[[#This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5.2592592592592589E-4</v>
      </c>
      <c r="AK24" s="3">
        <f>IF(Table122128[[#This Row],[run2 times]]="",999.99,IF(Table122128[[#This Row],[run2 times]]=$AP$3,0,MAX(0,ROUND(((Table122128[[#This Row],[run2 times]]-$AP$3)/$AP$3)*$AO$6,2))))</f>
        <v>22.18</v>
      </c>
      <c r="AL24" s="2">
        <f>IF(OR(Table122128[[#This Row],[run 1 times]]="",Table122128[[#This Row],[run2 times]]=""),"",Table122128[[#This Row],[run 1 times]]+Table122128[[#This Row],[run2 times]])</f>
        <v>1.1214120370370371E-3</v>
      </c>
      <c r="AM24" s="3">
        <f>IF(Table122128[[#This Row],[total time]]="",999.99,IF(Table122128[[#This Row],[total time]]=$AQ$3,0,MAX(0,ROUND(((Table122128[[#This Row],[total time]]-$AQ$3)/$AQ$3)*$AO$6,2))))</f>
        <v>17.43</v>
      </c>
    </row>
    <row r="25" spans="1:39" x14ac:dyDescent="0.3">
      <c r="A25">
        <v>53</v>
      </c>
      <c r="B25">
        <v>25</v>
      </c>
      <c r="C25" t="s">
        <v>257</v>
      </c>
      <c r="D25" t="s">
        <v>480</v>
      </c>
      <c r="E25" t="s">
        <v>489</v>
      </c>
      <c r="F25">
        <v>2014</v>
      </c>
      <c r="G25" s="1">
        <v>7.5462962962962962E-4</v>
      </c>
      <c r="H25" s="1">
        <v>7.3368055555555556E-4</v>
      </c>
      <c r="I25" s="1">
        <v>1.4883101851851852E-3</v>
      </c>
      <c r="K25">
        <v>116952</v>
      </c>
      <c r="L25" s="2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7.5462962962962962E-4</v>
      </c>
      <c r="M25" s="3">
        <f>IF(Table1225[[#This Row],[run 1 times]]="",999.99,IF(Table1225[[#This Row],[run 1 times]]=$S$3,0,MAX(0,ROUND(((Table1225[[#This Row],[run 1 times]]-$S$3)/$S$3)*$S$6,2))))</f>
        <v>294.89</v>
      </c>
      <c r="N25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7.3368055555555556E-4</v>
      </c>
      <c r="O25" s="3">
        <f>IF(Table1225[[#This Row],[run2 times]]="",999.99,IF(Table1225[[#This Row],[run2 times]]=$T$3,0,MAX(0,ROUND(((Table1225[[#This Row],[run2 times]]-$T$3)/$T$3)*$S$6,2))))</f>
        <v>232.25</v>
      </c>
      <c r="P25" s="2">
        <f>IF(OR(Table1225[[#This Row],[run 1 times]]="",Table1225[[#This Row],[run2 times]]=""),"",Table1225[[#This Row],[run 1 times]]+Table1225[[#This Row],[run2 times]])</f>
        <v>1.4883101851851852E-3</v>
      </c>
      <c r="Q25" s="3">
        <f>IF(Table1225[[#This Row],[total time]]="",999.99,IF(Table1225[[#This Row],[total time]]=$U$3,0,MAX(0,ROUND(((Table1225[[#This Row],[total time]]-$U$3)/$U$3)*$S$6,2))))</f>
        <v>263.02999999999997</v>
      </c>
      <c r="W25">
        <v>8</v>
      </c>
      <c r="X25">
        <v>82</v>
      </c>
      <c r="Y25" t="s">
        <v>257</v>
      </c>
      <c r="Z25" t="s">
        <v>547</v>
      </c>
      <c r="AA25" t="s">
        <v>570</v>
      </c>
      <c r="AB25">
        <v>2010</v>
      </c>
      <c r="AC25" s="1">
        <v>59.69</v>
      </c>
      <c r="AD25" s="1">
        <v>54.88</v>
      </c>
      <c r="AE25" s="1">
        <v>1.3260416666666666E-3</v>
      </c>
      <c r="AG25">
        <v>102723</v>
      </c>
      <c r="AH25" s="2">
        <f>_xlfn.LET(_xlpm.x,Table122128[[#This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6.9085648148148142E-4</v>
      </c>
      <c r="AI25" s="3">
        <f>IF(Table122128[[#This Row],[run 1 times]]="",999.99,IF(Table122128[[#This Row],[run 1 times]]=$AO$3,0,MAX(0,ROUND(((Table122128[[#This Row],[run 1 times]]-$AO$3)/$AO$3)*$AO$6,2))))</f>
        <v>139.72999999999999</v>
      </c>
      <c r="AJ25" s="2">
        <f>_xlfn.LET(_xlpm.x,Table122128[[#This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6.3518518518518524E-4</v>
      </c>
      <c r="AK25" s="3">
        <f>IF(Table122128[[#This Row],[run2 times]]="",999.99,IF(Table122128[[#This Row],[run2 times]]=$AP$3,0,MAX(0,ROUND(((Table122128[[#This Row],[run2 times]]-$AP$3)/$AP$3)*$AO$6,2))))</f>
        <v>178.44</v>
      </c>
      <c r="AL25" s="2">
        <f>IF(OR(Table122128[[#This Row],[run 1 times]]="",Table122128[[#This Row],[run2 times]]=""),"",Table122128[[#This Row],[run 1 times]]+Table122128[[#This Row],[run2 times]])</f>
        <v>1.3260416666666668E-3</v>
      </c>
      <c r="AM25" s="3">
        <f>IF(Table122128[[#This Row],[total time]]="",999.99,IF(Table122128[[#This Row],[total time]]=$AQ$3,0,MAX(0,ROUND(((Table122128[[#This Row],[total time]]-$AQ$3)/$AQ$3)*$AO$6,2))))</f>
        <v>153.82</v>
      </c>
    </row>
    <row r="26" spans="1:39" x14ac:dyDescent="0.3">
      <c r="A26">
        <v>17</v>
      </c>
      <c r="B26">
        <v>45</v>
      </c>
      <c r="C26" t="s">
        <v>257</v>
      </c>
      <c r="D26" t="s">
        <v>480</v>
      </c>
      <c r="E26" t="s">
        <v>495</v>
      </c>
      <c r="F26">
        <v>2014</v>
      </c>
      <c r="G26" s="1">
        <v>7.6493055555555559E-4</v>
      </c>
      <c r="H26" s="1">
        <v>7.9710648148148154E-4</v>
      </c>
      <c r="I26" s="1">
        <v>1.5620370370370371E-3</v>
      </c>
      <c r="K26">
        <v>120662</v>
      </c>
      <c r="L26" s="2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7.6493055555555559E-4</v>
      </c>
      <c r="M26" s="3">
        <f>IF(Table1225[[#This Row],[run 1 times]]="",999.99,IF(Table1225[[#This Row],[run 1 times]]=$S$3,0,MAX(0,ROUND(((Table1225[[#This Row],[run 1 times]]-$S$3)/$S$3)*$S$6,2))))</f>
        <v>308.88</v>
      </c>
      <c r="N26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7.9710648148148154E-4</v>
      </c>
      <c r="O26" s="3">
        <f>IF(Table1225[[#This Row],[run2 times]]="",999.99,IF(Table1225[[#This Row],[run2 times]]=$T$3,0,MAX(0,ROUND(((Table1225[[#This Row],[run2 times]]-$T$3)/$T$3)*$S$6,2))))</f>
        <v>315.44</v>
      </c>
      <c r="P26" s="2">
        <f>IF(OR(Table1225[[#This Row],[run 1 times]]="",Table1225[[#This Row],[run2 times]]=""),"",Table1225[[#This Row],[run 1 times]]+Table1225[[#This Row],[run2 times]])</f>
        <v>1.5620370370370371E-3</v>
      </c>
      <c r="Q26" s="3">
        <f>IF(Table1225[[#This Row],[total time]]="",999.99,IF(Table1225[[#This Row],[total time]]=$U$3,0,MAX(0,ROUND(((Table1225[[#This Row],[total time]]-$U$3)/$U$3)*$S$6,2))))</f>
        <v>312.22000000000003</v>
      </c>
      <c r="W26">
        <v>9</v>
      </c>
      <c r="X26">
        <v>83</v>
      </c>
      <c r="Y26" t="s">
        <v>257</v>
      </c>
      <c r="Z26" t="s">
        <v>547</v>
      </c>
      <c r="AA26" t="s">
        <v>571</v>
      </c>
      <c r="AB26">
        <v>2010</v>
      </c>
      <c r="AC26" s="1">
        <v>7.5393518518518518E-4</v>
      </c>
      <c r="AD26" s="1">
        <v>7.2060185185185183E-4</v>
      </c>
      <c r="AE26" s="1">
        <v>1.474537037037037E-3</v>
      </c>
      <c r="AG26">
        <v>92167</v>
      </c>
      <c r="AH26" s="2">
        <f>_xlfn.LET(_xlpm.x,Table122128[[#This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7.5393518518518518E-4</v>
      </c>
      <c r="AI26" s="3">
        <f>IF(Table122128[[#This Row],[run 1 times]]="",999.99,IF(Table122128[[#This Row],[run 1 times]]=$AO$3,0,MAX(0,ROUND(((Table122128[[#This Row],[run 1 times]]-$AO$3)/$AO$3)*$AO$6,2))))</f>
        <v>219.15</v>
      </c>
      <c r="AJ26" s="2">
        <f>_xlfn.LET(_xlpm.x,Table122128[[#This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7.2060185185185183E-4</v>
      </c>
      <c r="AK26" s="3">
        <f>IF(Table122128[[#This Row],[run2 times]]="",999.99,IF(Table122128[[#This Row],[run2 times]]=$AP$3,0,MAX(0,ROUND(((Table122128[[#This Row],[run2 times]]-$AP$3)/$AP$3)*$AO$6,2))))</f>
        <v>300.61</v>
      </c>
      <c r="AL26" s="2">
        <f>IF(OR(Table122128[[#This Row],[run 1 times]]="",Table122128[[#This Row],[run2 times]]=""),"",Table122128[[#This Row],[run 1 times]]+Table122128[[#This Row],[run2 times]])</f>
        <v>1.474537037037037E-3</v>
      </c>
      <c r="AM26" s="3">
        <f>IF(Table122128[[#This Row],[total time]]="",999.99,IF(Table122128[[#This Row],[total time]]=$AQ$3,0,MAX(0,ROUND(((Table122128[[#This Row],[total time]]-$AQ$3)/$AQ$3)*$AO$6,2))))</f>
        <v>252.8</v>
      </c>
    </row>
    <row r="27" spans="1:39" x14ac:dyDescent="0.3">
      <c r="A27">
        <v>40</v>
      </c>
      <c r="B27">
        <v>12</v>
      </c>
      <c r="C27" t="s">
        <v>479</v>
      </c>
      <c r="D27" t="s">
        <v>480</v>
      </c>
      <c r="E27" t="s">
        <v>490</v>
      </c>
      <c r="F27">
        <v>2015</v>
      </c>
      <c r="G27" s="1">
        <v>7.7152777777777777E-4</v>
      </c>
      <c r="H27" s="1" t="s">
        <v>512</v>
      </c>
      <c r="I27" s="1"/>
      <c r="K27">
        <v>110055</v>
      </c>
      <c r="L27" s="2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7.7152777777777777E-4</v>
      </c>
      <c r="M27" s="3">
        <f>IF(Table1225[[#This Row],[run 1 times]]="",999.99,IF(Table1225[[#This Row],[run 1 times]]=$S$3,0,MAX(0,ROUND(((Table1225[[#This Row],[run 1 times]]-$S$3)/$S$3)*$S$6,2))))</f>
        <v>317.83999999999997</v>
      </c>
      <c r="N27" s="2" t="str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27" s="3">
        <f>IF(Table1225[[#This Row],[run2 times]]="",999.99,IF(Table1225[[#This Row],[run2 times]]=$T$3,0,MAX(0,ROUND(((Table1225[[#This Row],[run2 times]]-$T$3)/$T$3)*$S$6,2))))</f>
        <v>999.99</v>
      </c>
      <c r="P27" s="2" t="str">
        <f>IF(OR(Table1225[[#This Row],[run 1 times]]="",Table1225[[#This Row],[run2 times]]=""),"",Table1225[[#This Row],[run 1 times]]+Table1225[[#This Row],[run2 times]])</f>
        <v/>
      </c>
      <c r="Q27" s="3">
        <f>IF(Table1225[[#This Row],[total time]]="",999.99,IF(Table1225[[#This Row],[total time]]=$U$3,0,MAX(0,ROUND(((Table1225[[#This Row],[total time]]-$U$3)/$U$3)*$S$6,2))))</f>
        <v>999.99</v>
      </c>
      <c r="W27">
        <v>11</v>
      </c>
      <c r="X27">
        <v>85</v>
      </c>
      <c r="Y27" t="s">
        <v>223</v>
      </c>
      <c r="Z27" t="s">
        <v>547</v>
      </c>
      <c r="AA27" t="s">
        <v>574</v>
      </c>
      <c r="AB27">
        <v>2010</v>
      </c>
      <c r="AC27" s="1" t="s">
        <v>512</v>
      </c>
      <c r="AD27" s="1" t="s">
        <v>512</v>
      </c>
      <c r="AE27" s="1"/>
      <c r="AG27">
        <v>93284</v>
      </c>
      <c r="AH27" s="2" t="str">
        <f>_xlfn.LET(_xlpm.x,Table122128[[#This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27" s="3">
        <f>IF(Table122128[[#This Row],[run 1 times]]="",999.99,IF(Table122128[[#This Row],[run 1 times]]=$AO$3,0,MAX(0,ROUND(((Table122128[[#This Row],[run 1 times]]-$AO$3)/$AO$3)*$AO$6,2))))</f>
        <v>999.99</v>
      </c>
      <c r="AJ27" s="2" t="str">
        <f>_xlfn.LET(_xlpm.x,Table122128[[#This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27" s="3">
        <f>IF(Table122128[[#This Row],[run2 times]]="",999.99,IF(Table122128[[#This Row],[run2 times]]=$AP$3,0,MAX(0,ROUND(((Table122128[[#This Row],[run2 times]]-$AP$3)/$AP$3)*$AO$6,2))))</f>
        <v>999.99</v>
      </c>
      <c r="AL27" s="2" t="str">
        <f>IF(OR(Table122128[[#This Row],[run 1 times]]="",Table122128[[#This Row],[run2 times]]=""),"",Table122128[[#This Row],[run 1 times]]+Table122128[[#This Row],[run2 times]])</f>
        <v/>
      </c>
      <c r="AM27" s="3">
        <f>IF(Table122128[[#This Row],[total time]]="",999.99,IF(Table122128[[#This Row],[total time]]=$AQ$3,0,MAX(0,ROUND(((Table122128[[#This Row],[total time]]-$AQ$3)/$AQ$3)*$AO$6,2))))</f>
        <v>999.99</v>
      </c>
    </row>
    <row r="28" spans="1:39" x14ac:dyDescent="0.3">
      <c r="A28">
        <v>18</v>
      </c>
      <c r="B28">
        <v>46</v>
      </c>
      <c r="C28" t="s">
        <v>257</v>
      </c>
      <c r="D28" t="s">
        <v>480</v>
      </c>
      <c r="E28" t="s">
        <v>511</v>
      </c>
      <c r="F28">
        <v>2014</v>
      </c>
      <c r="G28" s="1">
        <v>7.8703703703703705E-4</v>
      </c>
      <c r="H28" s="1">
        <v>8.0405092592592594E-4</v>
      </c>
      <c r="I28" s="1">
        <v>1.591087962962963E-3</v>
      </c>
      <c r="K28">
        <v>120667</v>
      </c>
      <c r="L28" s="2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7.8703703703703705E-4</v>
      </c>
      <c r="M28" s="3">
        <f>IF(Table1225[[#This Row],[run 1 times]]="",999.99,IF(Table1225[[#This Row],[run 1 times]]=$S$3,0,MAX(0,ROUND(((Table1225[[#This Row],[run 1 times]]-$S$3)/$S$3)*$S$6,2))))</f>
        <v>338.91</v>
      </c>
      <c r="N28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8.0405092592592594E-4</v>
      </c>
      <c r="O28" s="3">
        <f>IF(Table1225[[#This Row],[run2 times]]="",999.99,IF(Table1225[[#This Row],[run2 times]]=$T$3,0,MAX(0,ROUND(((Table1225[[#This Row],[run2 times]]-$T$3)/$T$3)*$S$6,2))))</f>
        <v>324.55</v>
      </c>
      <c r="P28" s="2">
        <f>IF(OR(Table1225[[#This Row],[run 1 times]]="",Table1225[[#This Row],[run2 times]]=""),"",Table1225[[#This Row],[run 1 times]]+Table1225[[#This Row],[run2 times]])</f>
        <v>1.591087962962963E-3</v>
      </c>
      <c r="Q28" s="3">
        <f>IF(Table1225[[#This Row],[total time]]="",999.99,IF(Table1225[[#This Row],[total time]]=$U$3,0,MAX(0,ROUND(((Table1225[[#This Row],[total time]]-$U$3)/$U$3)*$S$6,2))))</f>
        <v>331.6</v>
      </c>
      <c r="W28">
        <v>12</v>
      </c>
      <c r="X28">
        <v>86</v>
      </c>
      <c r="Y28" t="s">
        <v>479</v>
      </c>
      <c r="Z28" t="s">
        <v>547</v>
      </c>
      <c r="AA28" t="s">
        <v>575</v>
      </c>
      <c r="AB28">
        <v>2011</v>
      </c>
      <c r="AC28" s="1">
        <v>50.53</v>
      </c>
      <c r="AD28" s="1">
        <v>44.1</v>
      </c>
      <c r="AE28" s="1">
        <v>1.0952546296296296E-3</v>
      </c>
      <c r="AG28">
        <v>94621</v>
      </c>
      <c r="AH28" s="2">
        <f>_xlfn.LET(_xlpm.x,Table122128[[#This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5.84837962962963E-4</v>
      </c>
      <c r="AI28" s="3">
        <f>IF(Table122128[[#This Row],[run 1 times]]="",999.99,IF(Table122128[[#This Row],[run 1 times]]=$AO$3,0,MAX(0,ROUND(((Table122128[[#This Row],[run 1 times]]-$AO$3)/$AO$3)*$AO$6,2))))</f>
        <v>6.27</v>
      </c>
      <c r="AJ28" s="2">
        <f>_xlfn.LET(_xlpm.x,Table122128[[#This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5.1041666666666672E-4</v>
      </c>
      <c r="AK28" s="3">
        <f>IF(Table122128[[#This Row],[run2 times]]="",999.99,IF(Table122128[[#This Row],[run2 times]]=$AP$3,0,MAX(0,ROUND(((Table122128[[#This Row],[run2 times]]-$AP$3)/$AP$3)*$AO$6,2))))</f>
        <v>0</v>
      </c>
      <c r="AL28" s="2">
        <f>IF(OR(Table122128[[#This Row],[run 1 times]]="",Table122128[[#This Row],[run2 times]]=""),"",Table122128[[#This Row],[run 1 times]]+Table122128[[#This Row],[run2 times]])</f>
        <v>1.0952546296296296E-3</v>
      </c>
      <c r="AM28" s="3">
        <f>IF(Table122128[[#This Row],[total time]]="",999.99,IF(Table122128[[#This Row],[total time]]=$AQ$3,0,MAX(0,ROUND(((Table122128[[#This Row],[total time]]-$AQ$3)/$AQ$3)*$AO$6,2))))</f>
        <v>0</v>
      </c>
    </row>
    <row r="29" spans="1:39" x14ac:dyDescent="0.3">
      <c r="A29">
        <v>19</v>
      </c>
      <c r="B29">
        <v>47</v>
      </c>
      <c r="C29" t="s">
        <v>479</v>
      </c>
      <c r="D29" t="s">
        <v>480</v>
      </c>
      <c r="E29" t="s">
        <v>497</v>
      </c>
      <c r="F29">
        <v>2015</v>
      </c>
      <c r="G29" s="1">
        <v>7.8900462962962963E-4</v>
      </c>
      <c r="H29" s="1" t="s">
        <v>512</v>
      </c>
      <c r="I29" s="1"/>
      <c r="K29">
        <v>120586</v>
      </c>
      <c r="L29" s="2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7.8900462962962963E-4</v>
      </c>
      <c r="M29" s="3">
        <f>IF(Table1225[[#This Row],[run 1 times]]="",999.99,IF(Table1225[[#This Row],[run 1 times]]=$S$3,0,MAX(0,ROUND(((Table1225[[#This Row],[run 1 times]]-$S$3)/$S$3)*$S$6,2))))</f>
        <v>341.58</v>
      </c>
      <c r="N29" s="2" t="str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29" s="3">
        <f>IF(Table1225[[#This Row],[run2 times]]="",999.99,IF(Table1225[[#This Row],[run2 times]]=$T$3,0,MAX(0,ROUND(((Table1225[[#This Row],[run2 times]]-$T$3)/$T$3)*$S$6,2))))</f>
        <v>999.99</v>
      </c>
      <c r="P29" s="2" t="str">
        <f>IF(OR(Table1225[[#This Row],[run 1 times]]="",Table1225[[#This Row],[run2 times]]=""),"",Table1225[[#This Row],[run 1 times]]+Table1225[[#This Row],[run2 times]])</f>
        <v/>
      </c>
      <c r="Q29" s="3">
        <f>IF(Table1225[[#This Row],[total time]]="",999.99,IF(Table1225[[#This Row],[total time]]=$U$3,0,MAX(0,ROUND(((Table1225[[#This Row],[total time]]-$U$3)/$U$3)*$S$6,2))))</f>
        <v>999.99</v>
      </c>
      <c r="W29">
        <v>13</v>
      </c>
      <c r="X29">
        <v>87</v>
      </c>
      <c r="Y29" t="s">
        <v>257</v>
      </c>
      <c r="Z29" t="s">
        <v>547</v>
      </c>
      <c r="AA29" t="s">
        <v>576</v>
      </c>
      <c r="AB29">
        <v>2010</v>
      </c>
      <c r="AC29" s="1" t="s">
        <v>512</v>
      </c>
      <c r="AD29" s="1" t="s">
        <v>512</v>
      </c>
      <c r="AE29" s="1"/>
      <c r="AG29">
        <v>92169</v>
      </c>
      <c r="AH29" s="2" t="str">
        <f>_xlfn.LET(_xlpm.x,Table122128[[#This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29" s="3">
        <f>IF(Table122128[[#This Row],[run 1 times]]="",999.99,IF(Table122128[[#This Row],[run 1 times]]=$AO$3,0,MAX(0,ROUND(((Table122128[[#This Row],[run 1 times]]-$AO$3)/$AO$3)*$AO$6,2))))</f>
        <v>999.99</v>
      </c>
      <c r="AJ29" s="2" t="str">
        <f>_xlfn.LET(_xlpm.x,Table122128[[#This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29" s="3">
        <f>IF(Table122128[[#This Row],[run2 times]]="",999.99,IF(Table122128[[#This Row],[run2 times]]=$AP$3,0,MAX(0,ROUND(((Table122128[[#This Row],[run2 times]]-$AP$3)/$AP$3)*$AO$6,2))))</f>
        <v>999.99</v>
      </c>
      <c r="AL29" s="2" t="str">
        <f>IF(OR(Table122128[[#This Row],[run 1 times]]="",Table122128[[#This Row],[run2 times]]=""),"",Table122128[[#This Row],[run 1 times]]+Table122128[[#This Row],[run2 times]])</f>
        <v/>
      </c>
      <c r="AM29" s="3">
        <f>IF(Table122128[[#This Row],[total time]]="",999.99,IF(Table122128[[#This Row],[total time]]=$AQ$3,0,MAX(0,ROUND(((Table122128[[#This Row],[total time]]-$AQ$3)/$AQ$3)*$AO$6,2))))</f>
        <v>999.99</v>
      </c>
    </row>
    <row r="30" spans="1:39" x14ac:dyDescent="0.3">
      <c r="A30">
        <v>49</v>
      </c>
      <c r="B30">
        <v>21</v>
      </c>
      <c r="C30" t="s">
        <v>24</v>
      </c>
      <c r="D30" t="s">
        <v>480</v>
      </c>
      <c r="E30" t="s">
        <v>498</v>
      </c>
      <c r="F30">
        <v>2014</v>
      </c>
      <c r="G30" s="1">
        <v>8.0081018518518511E-4</v>
      </c>
      <c r="H30" s="1">
        <v>8.0300925925925917E-4</v>
      </c>
      <c r="I30" s="1">
        <v>1.6038194444444444E-3</v>
      </c>
      <c r="K30">
        <v>108671</v>
      </c>
      <c r="L30" s="2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8.0081018518518511E-4</v>
      </c>
      <c r="M30" s="3">
        <f>IF(Table1225[[#This Row],[run 1 times]]="",999.99,IF(Table1225[[#This Row],[run 1 times]]=$S$3,0,MAX(0,ROUND(((Table1225[[#This Row],[run 1 times]]-$S$3)/$S$3)*$S$6,2))))</f>
        <v>357.61</v>
      </c>
      <c r="N30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8.0300925925925917E-4</v>
      </c>
      <c r="O30" s="3">
        <f>IF(Table1225[[#This Row],[run2 times]]="",999.99,IF(Table1225[[#This Row],[run2 times]]=$T$3,0,MAX(0,ROUND(((Table1225[[#This Row],[run2 times]]-$T$3)/$T$3)*$S$6,2))))</f>
        <v>323.18</v>
      </c>
      <c r="P30" s="2">
        <f>IF(OR(Table1225[[#This Row],[run 1 times]]="",Table1225[[#This Row],[run2 times]]=""),"",Table1225[[#This Row],[run 1 times]]+Table1225[[#This Row],[run2 times]])</f>
        <v>1.6038194444444442E-3</v>
      </c>
      <c r="Q30" s="3">
        <f>IF(Table1225[[#This Row],[total time]]="",999.99,IF(Table1225[[#This Row],[total time]]=$U$3,0,MAX(0,ROUND(((Table1225[[#This Row],[total time]]-$U$3)/$U$3)*$S$6,2))))</f>
        <v>340.1</v>
      </c>
      <c r="W30">
        <v>14</v>
      </c>
      <c r="X30">
        <v>88</v>
      </c>
      <c r="Y30" t="s">
        <v>487</v>
      </c>
      <c r="Z30" t="s">
        <v>547</v>
      </c>
      <c r="AA30" t="s">
        <v>577</v>
      </c>
      <c r="AB30">
        <v>2011</v>
      </c>
      <c r="AC30" s="1">
        <v>7.1851851851851851E-4</v>
      </c>
      <c r="AD30" s="1">
        <v>56.91</v>
      </c>
      <c r="AE30" s="1">
        <v>1.3771990740740741E-3</v>
      </c>
      <c r="AG30">
        <v>91878</v>
      </c>
      <c r="AH30" s="2">
        <f>_xlfn.LET(_xlpm.x,Table122128[[#This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7.1851851851851851E-4</v>
      </c>
      <c r="AI30" s="3">
        <f>IF(Table122128[[#This Row],[run 1 times]]="",999.99,IF(Table122128[[#This Row],[run 1 times]]=$AO$3,0,MAX(0,ROUND(((Table122128[[#This Row],[run 1 times]]-$AO$3)/$AO$3)*$AO$6,2))))</f>
        <v>174.56</v>
      </c>
      <c r="AJ30" s="2">
        <f>_xlfn.LET(_xlpm.x,Table122128[[#This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6.5868055555555547E-4</v>
      </c>
      <c r="AK30" s="3">
        <f>IF(Table122128[[#This Row],[run2 times]]="",999.99,IF(Table122128[[#This Row],[run2 times]]=$AP$3,0,MAX(0,ROUND(((Table122128[[#This Row],[run2 times]]-$AP$3)/$AP$3)*$AO$6,2))))</f>
        <v>212.05</v>
      </c>
      <c r="AL30" s="2">
        <f>IF(OR(Table122128[[#This Row],[run 1 times]]="",Table122128[[#This Row],[run2 times]]=""),"",Table122128[[#This Row],[run 1 times]]+Table122128[[#This Row],[run2 times]])</f>
        <v>1.3771990740740741E-3</v>
      </c>
      <c r="AM30" s="3">
        <f>IF(Table122128[[#This Row],[total time]]="",999.99,IF(Table122128[[#This Row],[total time]]=$AQ$3,0,MAX(0,ROUND(((Table122128[[#This Row],[total time]]-$AQ$3)/$AQ$3)*$AO$6,2))))</f>
        <v>187.92</v>
      </c>
    </row>
    <row r="31" spans="1:39" x14ac:dyDescent="0.3">
      <c r="A31">
        <v>34</v>
      </c>
      <c r="B31">
        <v>6</v>
      </c>
      <c r="C31" t="s">
        <v>257</v>
      </c>
      <c r="D31" t="s">
        <v>480</v>
      </c>
      <c r="E31" t="s">
        <v>499</v>
      </c>
      <c r="F31">
        <v>2015</v>
      </c>
      <c r="G31" s="1">
        <v>8.016203703703704E-4</v>
      </c>
      <c r="H31" s="1">
        <v>8.2569444444444444E-4</v>
      </c>
      <c r="I31" s="1">
        <v>1.6273148148148147E-3</v>
      </c>
      <c r="K31">
        <v>119074</v>
      </c>
      <c r="L31" s="2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8.016203703703704E-4</v>
      </c>
      <c r="M31" s="3">
        <f>IF(Table1225[[#This Row],[run 1 times]]="",999.99,IF(Table1225[[#This Row],[run 1 times]]=$S$3,0,MAX(0,ROUND(((Table1225[[#This Row],[run 1 times]]-$S$3)/$S$3)*$S$6,2))))</f>
        <v>358.71</v>
      </c>
      <c r="N31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8.2569444444444444E-4</v>
      </c>
      <c r="O31" s="3">
        <f>IF(Table1225[[#This Row],[run2 times]]="",999.99,IF(Table1225[[#This Row],[run2 times]]=$T$3,0,MAX(0,ROUND(((Table1225[[#This Row],[run2 times]]-$T$3)/$T$3)*$S$6,2))))</f>
        <v>352.93</v>
      </c>
      <c r="P31" s="2">
        <f>IF(OR(Table1225[[#This Row],[run 1 times]]="",Table1225[[#This Row],[run2 times]]=""),"",Table1225[[#This Row],[run 1 times]]+Table1225[[#This Row],[run2 times]])</f>
        <v>1.6273148148148149E-3</v>
      </c>
      <c r="Q31" s="3">
        <f>IF(Table1225[[#This Row],[total time]]="",999.99,IF(Table1225[[#This Row],[total time]]=$U$3,0,MAX(0,ROUND(((Table1225[[#This Row],[total time]]-$U$3)/$U$3)*$S$6,2))))</f>
        <v>355.77</v>
      </c>
      <c r="W31">
        <v>15</v>
      </c>
      <c r="X31">
        <v>89</v>
      </c>
      <c r="Y31" t="s">
        <v>257</v>
      </c>
      <c r="Z31" t="s">
        <v>547</v>
      </c>
      <c r="AA31" t="s">
        <v>578</v>
      </c>
      <c r="AB31">
        <v>2010</v>
      </c>
      <c r="AC31" s="1">
        <v>8.2511574074074063E-4</v>
      </c>
      <c r="AD31" s="1">
        <v>7.4259259259259254E-4</v>
      </c>
      <c r="AE31" s="1">
        <v>1.5677083333333333E-3</v>
      </c>
      <c r="AG31">
        <v>121966</v>
      </c>
      <c r="AH31" s="2">
        <f>_xlfn.LET(_xlpm.x,Table122128[[#This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8.2511574074074063E-4</v>
      </c>
      <c r="AI31" s="3">
        <f>IF(Table122128[[#This Row],[run 1 times]]="",999.99,IF(Table122128[[#This Row],[run 1 times]]=$AO$3,0,MAX(0,ROUND(((Table122128[[#This Row],[run 1 times]]-$AO$3)/$AO$3)*$AO$6,2))))</f>
        <v>308.76</v>
      </c>
      <c r="AJ31" s="2">
        <f>_xlfn.LET(_xlpm.x,Table122128[[#This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7.4259259259259254E-4</v>
      </c>
      <c r="AK31" s="3">
        <f>IF(Table122128[[#This Row],[run2 times]]="",999.99,IF(Table122128[[#This Row],[run2 times]]=$AP$3,0,MAX(0,ROUND(((Table122128[[#This Row],[run2 times]]-$AP$3)/$AP$3)*$AO$6,2))))</f>
        <v>332.06</v>
      </c>
      <c r="AL31" s="2">
        <f>IF(OR(Table122128[[#This Row],[run 1 times]]="",Table122128[[#This Row],[run2 times]]=""),"",Table122128[[#This Row],[run 1 times]]+Table122128[[#This Row],[run2 times]])</f>
        <v>1.5677083333333333E-3</v>
      </c>
      <c r="AM31" s="3">
        <f>IF(Table122128[[#This Row],[total time]]="",999.99,IF(Table122128[[#This Row],[total time]]=$AQ$3,0,MAX(0,ROUND(((Table122128[[#This Row],[total time]]-$AQ$3)/$AQ$3)*$AO$6,2))))</f>
        <v>314.89999999999998</v>
      </c>
    </row>
    <row r="32" spans="1:39" x14ac:dyDescent="0.3">
      <c r="A32">
        <v>41</v>
      </c>
      <c r="B32">
        <v>13</v>
      </c>
      <c r="C32" t="s">
        <v>257</v>
      </c>
      <c r="D32" t="s">
        <v>480</v>
      </c>
      <c r="E32" t="s">
        <v>493</v>
      </c>
      <c r="F32">
        <v>2014</v>
      </c>
      <c r="G32" s="1">
        <v>8.0752314814814814E-4</v>
      </c>
      <c r="H32" s="1">
        <v>8.0104166666666681E-4</v>
      </c>
      <c r="I32" s="1">
        <v>1.6085648148148146E-3</v>
      </c>
      <c r="K32">
        <v>1206668</v>
      </c>
      <c r="L32" s="2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8.0752314814814814E-4</v>
      </c>
      <c r="M32" s="3">
        <f>IF(Table1225[[#This Row],[run 1 times]]="",999.99,IF(Table1225[[#This Row],[run 1 times]]=$S$3,0,MAX(0,ROUND(((Table1225[[#This Row],[run 1 times]]-$S$3)/$S$3)*$S$6,2))))</f>
        <v>366.73</v>
      </c>
      <c r="N32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8.0104166666666681E-4</v>
      </c>
      <c r="O32" s="3">
        <f>IF(Table1225[[#This Row],[run2 times]]="",999.99,IF(Table1225[[#This Row],[run2 times]]=$T$3,0,MAX(0,ROUND(((Table1225[[#This Row],[run2 times]]-$T$3)/$T$3)*$S$6,2))))</f>
        <v>320.60000000000002</v>
      </c>
      <c r="P32" s="2">
        <f>IF(OR(Table1225[[#This Row],[run 1 times]]="",Table1225[[#This Row],[run2 times]]=""),"",Table1225[[#This Row],[run 1 times]]+Table1225[[#This Row],[run2 times]])</f>
        <v>1.6085648148148148E-3</v>
      </c>
      <c r="Q32" s="3">
        <f>IF(Table1225[[#This Row],[total time]]="",999.99,IF(Table1225[[#This Row],[total time]]=$U$3,0,MAX(0,ROUND(((Table1225[[#This Row],[total time]]-$U$3)/$U$3)*$S$6,2))))</f>
        <v>343.26</v>
      </c>
      <c r="W32">
        <v>16</v>
      </c>
      <c r="X32">
        <v>90</v>
      </c>
      <c r="Y32" t="s">
        <v>479</v>
      </c>
      <c r="Z32" t="s">
        <v>547</v>
      </c>
      <c r="AA32" t="s">
        <v>579</v>
      </c>
      <c r="AB32">
        <v>2011</v>
      </c>
      <c r="AC32" s="1">
        <v>52.82</v>
      </c>
      <c r="AD32" s="1">
        <v>47.33</v>
      </c>
      <c r="AE32" s="1">
        <v>1.1591435185185186E-3</v>
      </c>
      <c r="AG32">
        <v>89870</v>
      </c>
      <c r="AH32" s="2">
        <f>_xlfn.LET(_xlpm.x,Table122128[[#This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6.1134259259259258E-4</v>
      </c>
      <c r="AI32" s="3">
        <f>IF(Table122128[[#This Row],[run 1 times]]="",999.99,IF(Table122128[[#This Row],[run 1 times]]=$AO$3,0,MAX(0,ROUND(((Table122128[[#This Row],[run 1 times]]-$AO$3)/$AO$3)*$AO$6,2))))</f>
        <v>39.630000000000003</v>
      </c>
      <c r="AJ32" s="2">
        <f>_xlfn.LET(_xlpm.x,Table122128[[#This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5.4780092592592586E-4</v>
      </c>
      <c r="AK32" s="3">
        <f>IF(Table122128[[#This Row],[run2 times]]="",999.99,IF(Table122128[[#This Row],[run2 times]]=$AP$3,0,MAX(0,ROUND(((Table122128[[#This Row],[run2 times]]-$AP$3)/$AP$3)*$AO$6,2))))</f>
        <v>53.47</v>
      </c>
      <c r="AL32" s="2">
        <f>IF(OR(Table122128[[#This Row],[run 1 times]]="",Table122128[[#This Row],[run2 times]]=""),"",Table122128[[#This Row],[run 1 times]]+Table122128[[#This Row],[run2 times]])</f>
        <v>1.1591435185185186E-3</v>
      </c>
      <c r="AM32" s="3">
        <f>IF(Table122128[[#This Row],[total time]]="",999.99,IF(Table122128[[#This Row],[total time]]=$AQ$3,0,MAX(0,ROUND(((Table122128[[#This Row],[total time]]-$AQ$3)/$AQ$3)*$AO$6,2))))</f>
        <v>42.58</v>
      </c>
    </row>
    <row r="33" spans="1:39" x14ac:dyDescent="0.3">
      <c r="A33">
        <v>2</v>
      </c>
      <c r="B33">
        <v>30</v>
      </c>
      <c r="C33" t="s">
        <v>373</v>
      </c>
      <c r="D33" t="s">
        <v>480</v>
      </c>
      <c r="E33" t="s">
        <v>503</v>
      </c>
      <c r="F33">
        <v>2014</v>
      </c>
      <c r="G33" s="1">
        <v>8.1967592592592585E-4</v>
      </c>
      <c r="H33" s="1">
        <v>9.621527777777777E-4</v>
      </c>
      <c r="I33" s="1">
        <v>1.7818287037037037E-3</v>
      </c>
      <c r="K33">
        <v>112386</v>
      </c>
      <c r="L33" s="2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8.1967592592592585E-4</v>
      </c>
      <c r="M33" s="3">
        <f>IF(Table1225[[#This Row],[run 1 times]]="",999.99,IF(Table1225[[#This Row],[run 1 times]]=$S$3,0,MAX(0,ROUND(((Table1225[[#This Row],[run 1 times]]-$S$3)/$S$3)*$S$6,2))))</f>
        <v>383.23</v>
      </c>
      <c r="N33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9.621527777777777E-4</v>
      </c>
      <c r="O33" s="3">
        <f>IF(Table1225[[#This Row],[run2 times]]="",999.99,IF(Table1225[[#This Row],[run2 times]]=$T$3,0,MAX(0,ROUND(((Table1225[[#This Row],[run2 times]]-$T$3)/$T$3)*$S$6,2))))</f>
        <v>531.9</v>
      </c>
      <c r="P33" s="2">
        <f>IF(OR(Table1225[[#This Row],[run 1 times]]="",Table1225[[#This Row],[run2 times]]=""),"",Table1225[[#This Row],[run 1 times]]+Table1225[[#This Row],[run2 times]])</f>
        <v>1.7818287037037034E-3</v>
      </c>
      <c r="Q33" s="3">
        <f>IF(Table1225[[#This Row],[total time]]="",999.99,IF(Table1225[[#This Row],[total time]]=$U$3,0,MAX(0,ROUND(((Table1225[[#This Row],[total time]]-$U$3)/$U$3)*$S$6,2))))</f>
        <v>458.87</v>
      </c>
      <c r="W33">
        <v>4</v>
      </c>
      <c r="X33">
        <v>78</v>
      </c>
      <c r="Y33" t="s">
        <v>223</v>
      </c>
      <c r="Z33" t="s">
        <v>547</v>
      </c>
      <c r="AA33" t="s">
        <v>580</v>
      </c>
      <c r="AB33">
        <v>2011</v>
      </c>
      <c r="AC33" s="1" t="s">
        <v>510</v>
      </c>
      <c r="AD33" s="1" t="s">
        <v>510</v>
      </c>
      <c r="AE33" s="1"/>
      <c r="AG33">
        <v>94556</v>
      </c>
      <c r="AH33" s="2" t="str">
        <f>_xlfn.LET(_xlpm.x,Table122128[[#This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33" s="3">
        <f>IF(Table122128[[#This Row],[run 1 times]]="",999.99,IF(Table122128[[#This Row],[run 1 times]]=$AO$3,0,MAX(0,ROUND(((Table122128[[#This Row],[run 1 times]]-$AO$3)/$AO$3)*$AO$6,2))))</f>
        <v>999.99</v>
      </c>
      <c r="AJ33" s="2" t="str">
        <f>_xlfn.LET(_xlpm.x,Table122128[[#This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33" s="3">
        <f>IF(Table122128[[#This Row],[run2 times]]="",999.99,IF(Table122128[[#This Row],[run2 times]]=$AP$3,0,MAX(0,ROUND(((Table122128[[#This Row],[run2 times]]-$AP$3)/$AP$3)*$AO$6,2))))</f>
        <v>999.99</v>
      </c>
      <c r="AL33" s="2" t="str">
        <f>IF(OR(Table122128[[#This Row],[run 1 times]]="",Table122128[[#This Row],[run2 times]]=""),"",Table122128[[#This Row],[run 1 times]]+Table122128[[#This Row],[run2 times]])</f>
        <v/>
      </c>
      <c r="AM33" s="3">
        <f>IF(Table122128[[#This Row],[total time]]="",999.99,IF(Table122128[[#This Row],[total time]]=$AQ$3,0,MAX(0,ROUND(((Table122128[[#This Row],[total time]]-$AQ$3)/$AQ$3)*$AO$6,2))))</f>
        <v>999.99</v>
      </c>
    </row>
    <row r="34" spans="1:39" x14ac:dyDescent="0.3">
      <c r="A34">
        <v>21</v>
      </c>
      <c r="B34">
        <v>49</v>
      </c>
      <c r="C34" t="s">
        <v>24</v>
      </c>
      <c r="D34" t="s">
        <v>480</v>
      </c>
      <c r="E34" t="s">
        <v>519</v>
      </c>
      <c r="F34">
        <v>2015</v>
      </c>
      <c r="G34" s="1">
        <v>8.2627314814814814E-4</v>
      </c>
      <c r="H34" s="1">
        <v>8.3831018518518532E-4</v>
      </c>
      <c r="I34" s="1">
        <v>1.6645833333333332E-3</v>
      </c>
      <c r="K34">
        <v>114606</v>
      </c>
      <c r="L34" s="2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8.2627314814814814E-4</v>
      </c>
      <c r="M34" s="3">
        <f>IF(Table1225[[#This Row],[run 1 times]]="",999.99,IF(Table1225[[#This Row],[run 1 times]]=$S$3,0,MAX(0,ROUND(((Table1225[[#This Row],[run 1 times]]-$S$3)/$S$3)*$S$6,2))))</f>
        <v>392.19</v>
      </c>
      <c r="N34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8.3831018518518532E-4</v>
      </c>
      <c r="O34" s="3">
        <f>IF(Table1225[[#This Row],[run2 times]]="",999.99,IF(Table1225[[#This Row],[run2 times]]=$T$3,0,MAX(0,ROUND(((Table1225[[#This Row],[run2 times]]-$T$3)/$T$3)*$S$6,2))))</f>
        <v>369.48</v>
      </c>
      <c r="P34" s="2">
        <f>IF(OR(Table1225[[#This Row],[run 1 times]]="",Table1225[[#This Row],[run2 times]]=""),"",Table1225[[#This Row],[run 1 times]]+Table1225[[#This Row],[run2 times]])</f>
        <v>1.6645833333333335E-3</v>
      </c>
      <c r="Q34" s="3">
        <f>IF(Table1225[[#This Row],[total time]]="",999.99,IF(Table1225[[#This Row],[total time]]=$U$3,0,MAX(0,ROUND(((Table1225[[#This Row],[total time]]-$U$3)/$U$3)*$S$6,2))))</f>
        <v>380.64</v>
      </c>
    </row>
    <row r="35" spans="1:39" x14ac:dyDescent="0.3">
      <c r="A35">
        <v>33</v>
      </c>
      <c r="B35">
        <v>5</v>
      </c>
      <c r="C35" t="s">
        <v>24</v>
      </c>
      <c r="D35" t="s">
        <v>480</v>
      </c>
      <c r="E35" t="s">
        <v>509</v>
      </c>
      <c r="F35">
        <v>2014</v>
      </c>
      <c r="G35" s="1">
        <v>8.3888888888888891E-4</v>
      </c>
      <c r="H35" s="1">
        <v>8.7303240740740744E-4</v>
      </c>
      <c r="I35" s="1">
        <v>1.7119212962962962E-3</v>
      </c>
      <c r="K35">
        <v>108686</v>
      </c>
      <c r="L35" s="2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8.3888888888888891E-4</v>
      </c>
      <c r="M35" s="3">
        <f>IF(Table1225[[#This Row],[run 1 times]]="",999.99,IF(Table1225[[#This Row],[run 1 times]]=$S$3,0,MAX(0,ROUND(((Table1225[[#This Row],[run 1 times]]-$S$3)/$S$3)*$S$6,2))))</f>
        <v>409.33</v>
      </c>
      <c r="N35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8.7303240740740744E-4</v>
      </c>
      <c r="O35" s="3">
        <f>IF(Table1225[[#This Row],[run2 times]]="",999.99,IF(Table1225[[#This Row],[run2 times]]=$T$3,0,MAX(0,ROUND(((Table1225[[#This Row],[run2 times]]-$T$3)/$T$3)*$S$6,2))))</f>
        <v>415.02</v>
      </c>
      <c r="P35" s="2">
        <f>IF(OR(Table1225[[#This Row],[run 1 times]]="",Table1225[[#This Row],[run2 times]]=""),"",Table1225[[#This Row],[run 1 times]]+Table1225[[#This Row],[run2 times]])</f>
        <v>1.7119212962962965E-3</v>
      </c>
      <c r="Q35" s="3">
        <f>IF(Table1225[[#This Row],[total time]]="",999.99,IF(Table1225[[#This Row],[total time]]=$U$3,0,MAX(0,ROUND(((Table1225[[#This Row],[total time]]-$U$3)/$U$3)*$S$6,2))))</f>
        <v>412.22</v>
      </c>
    </row>
    <row r="36" spans="1:39" x14ac:dyDescent="0.3">
      <c r="A36">
        <v>10</v>
      </c>
      <c r="B36">
        <v>38</v>
      </c>
      <c r="C36" t="s">
        <v>479</v>
      </c>
      <c r="D36" t="s">
        <v>480</v>
      </c>
      <c r="E36" t="s">
        <v>500</v>
      </c>
      <c r="F36">
        <v>2015</v>
      </c>
      <c r="G36" s="1">
        <v>8.5486111111111114E-4</v>
      </c>
      <c r="H36" s="1">
        <v>9.3935185185185181E-4</v>
      </c>
      <c r="I36" s="1">
        <v>1.7942129629629632E-3</v>
      </c>
      <c r="K36">
        <v>110042</v>
      </c>
      <c r="L36" s="2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8.5486111111111114E-4</v>
      </c>
      <c r="M36" s="3">
        <f>IF(Table1225[[#This Row],[run 1 times]]="",999.99,IF(Table1225[[#This Row],[run 1 times]]=$S$3,0,MAX(0,ROUND(((Table1225[[#This Row],[run 1 times]]-$S$3)/$S$3)*$S$6,2))))</f>
        <v>431.02</v>
      </c>
      <c r="N36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9.3935185185185181E-4</v>
      </c>
      <c r="O36" s="3">
        <f>IF(Table1225[[#This Row],[run2 times]]="",999.99,IF(Table1225[[#This Row],[run2 times]]=$T$3,0,MAX(0,ROUND(((Table1225[[#This Row],[run2 times]]-$T$3)/$T$3)*$S$6,2))))</f>
        <v>502</v>
      </c>
      <c r="P36" s="2">
        <f>IF(OR(Table1225[[#This Row],[run 1 times]]="",Table1225[[#This Row],[run2 times]]=""),"",Table1225[[#This Row],[run 1 times]]+Table1225[[#This Row],[run2 times]])</f>
        <v>1.7942129629629629E-3</v>
      </c>
      <c r="Q36" s="3">
        <f>IF(Table1225[[#This Row],[total time]]="",999.99,IF(Table1225[[#This Row],[total time]]=$U$3,0,MAX(0,ROUND(((Table1225[[#This Row],[total time]]-$U$3)/$U$3)*$S$6,2))))</f>
        <v>467.13</v>
      </c>
    </row>
    <row r="37" spans="1:39" x14ac:dyDescent="0.3">
      <c r="A37" s="3">
        <v>24</v>
      </c>
      <c r="B37" s="3">
        <v>52</v>
      </c>
      <c r="C37" s="3" t="s">
        <v>223</v>
      </c>
      <c r="D37" s="3" t="s">
        <v>480</v>
      </c>
      <c r="E37" s="3" t="s">
        <v>501</v>
      </c>
      <c r="F37">
        <v>2014</v>
      </c>
      <c r="G37" s="1">
        <v>8.5555555555555558E-4</v>
      </c>
      <c r="H37" s="1" t="s">
        <v>512</v>
      </c>
      <c r="I37" s="1"/>
      <c r="K37">
        <v>107911</v>
      </c>
      <c r="L37" s="2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8.5555555555555558E-4</v>
      </c>
      <c r="M37" s="3">
        <f>IF(Table1225[[#This Row],[run 1 times]]="",999.99,IF(Table1225[[#This Row],[run 1 times]]=$S$3,0,MAX(0,ROUND(((Table1225[[#This Row],[run 1 times]]-$S$3)/$S$3)*$S$6,2))))</f>
        <v>431.96</v>
      </c>
      <c r="N37" s="2" t="str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37" s="3">
        <f>IF(Table1225[[#This Row],[run2 times]]="",999.99,IF(Table1225[[#This Row],[run2 times]]=$T$3,0,MAX(0,ROUND(((Table1225[[#This Row],[run2 times]]-$T$3)/$T$3)*$S$6,2))))</f>
        <v>999.99</v>
      </c>
      <c r="P37" s="2" t="str">
        <f>IF(OR(Table1225[[#This Row],[run 1 times]]="",Table1225[[#This Row],[run2 times]]=""),"",Table1225[[#This Row],[run 1 times]]+Table1225[[#This Row],[run2 times]])</f>
        <v/>
      </c>
      <c r="Q37" s="3">
        <f>IF(Table1225[[#This Row],[total time]]="",999.99,IF(Table1225[[#This Row],[total time]]=$U$3,0,MAX(0,ROUND(((Table1225[[#This Row],[total time]]-$U$3)/$U$3)*$S$6,2))))</f>
        <v>999.99</v>
      </c>
    </row>
    <row r="38" spans="1:39" x14ac:dyDescent="0.3">
      <c r="A38">
        <v>47</v>
      </c>
      <c r="B38">
        <v>19</v>
      </c>
      <c r="C38" t="s">
        <v>257</v>
      </c>
      <c r="D38" t="s">
        <v>480</v>
      </c>
      <c r="E38" t="s">
        <v>505</v>
      </c>
      <c r="F38">
        <v>2015</v>
      </c>
      <c r="G38" s="1">
        <v>8.7141203703703697E-4</v>
      </c>
      <c r="H38" s="1">
        <v>8.7881944444444455E-4</v>
      </c>
      <c r="I38" s="1">
        <v>1.7502314814814815E-3</v>
      </c>
      <c r="K38">
        <v>119081</v>
      </c>
      <c r="L38" s="2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8.7141203703703697E-4</v>
      </c>
      <c r="M38" s="3">
        <f>IF(Table1225[[#This Row],[run 1 times]]="",999.99,IF(Table1225[[#This Row],[run 1 times]]=$S$3,0,MAX(0,ROUND(((Table1225[[#This Row],[run 1 times]]-$S$3)/$S$3)*$S$6,2))))</f>
        <v>453.5</v>
      </c>
      <c r="N38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8.7881944444444455E-4</v>
      </c>
      <c r="O38" s="3">
        <f>IF(Table1225[[#This Row],[run2 times]]="",999.99,IF(Table1225[[#This Row],[run2 times]]=$T$3,0,MAX(0,ROUND(((Table1225[[#This Row],[run2 times]]-$T$3)/$T$3)*$S$6,2))))</f>
        <v>422.61</v>
      </c>
      <c r="P38" s="2">
        <f>IF(OR(Table1225[[#This Row],[run 1 times]]="",Table1225[[#This Row],[run2 times]]=""),"",Table1225[[#This Row],[run 1 times]]+Table1225[[#This Row],[run2 times]])</f>
        <v>1.7502314814814815E-3</v>
      </c>
      <c r="Q38" s="3">
        <f>IF(Table1225[[#This Row],[total time]]="",999.99,IF(Table1225[[#This Row],[total time]]=$U$3,0,MAX(0,ROUND(((Table1225[[#This Row],[total time]]-$U$3)/$U$3)*$S$6,2))))</f>
        <v>437.78</v>
      </c>
    </row>
    <row r="39" spans="1:39" x14ac:dyDescent="0.3">
      <c r="A39">
        <v>43</v>
      </c>
      <c r="B39">
        <v>15</v>
      </c>
      <c r="C39" t="s">
        <v>257</v>
      </c>
      <c r="D39" t="s">
        <v>522</v>
      </c>
      <c r="E39" t="s">
        <v>544</v>
      </c>
      <c r="F39">
        <v>2013</v>
      </c>
      <c r="G39" s="1">
        <v>8.7789351851851841E-4</v>
      </c>
      <c r="H39" s="1">
        <v>8.7245370370370363E-4</v>
      </c>
      <c r="I39" s="1">
        <v>1.7503472222222221E-3</v>
      </c>
      <c r="K39">
        <v>117955</v>
      </c>
      <c r="L39" s="2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8.7789351851851841E-4</v>
      </c>
      <c r="M39" s="3">
        <f>IF(Table1225[[#This Row],[run 1 times]]="",999.99,IF(Table1225[[#This Row],[run 1 times]]=$S$3,0,MAX(0,ROUND(((Table1225[[#This Row],[run 1 times]]-$S$3)/$S$3)*$S$6,2))))</f>
        <v>462.3</v>
      </c>
      <c r="N39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8.7245370370370363E-4</v>
      </c>
      <c r="O39" s="3">
        <f>IF(Table1225[[#This Row],[run2 times]]="",999.99,IF(Table1225[[#This Row],[run2 times]]=$T$3,0,MAX(0,ROUND(((Table1225[[#This Row],[run2 times]]-$T$3)/$T$3)*$S$6,2))))</f>
        <v>414.26</v>
      </c>
      <c r="P39" s="2">
        <f>IF(OR(Table1225[[#This Row],[run 1 times]]="",Table1225[[#This Row],[run2 times]]=""),"",Table1225[[#This Row],[run 1 times]]+Table1225[[#This Row],[run2 times]])</f>
        <v>1.7503472222222221E-3</v>
      </c>
      <c r="Q39" s="3">
        <f>IF(Table1225[[#This Row],[total time]]="",999.99,IF(Table1225[[#This Row],[total time]]=$U$3,0,MAX(0,ROUND(((Table1225[[#This Row],[total time]]-$U$3)/$U$3)*$S$6,2))))</f>
        <v>437.86</v>
      </c>
    </row>
    <row r="40" spans="1:39" x14ac:dyDescent="0.3">
      <c r="A40">
        <v>26</v>
      </c>
      <c r="B40">
        <v>54</v>
      </c>
      <c r="C40" t="s">
        <v>479</v>
      </c>
      <c r="D40" t="s">
        <v>480</v>
      </c>
      <c r="E40" t="s">
        <v>504</v>
      </c>
      <c r="F40">
        <v>2014</v>
      </c>
      <c r="G40" s="1">
        <v>8.9409722222222223E-4</v>
      </c>
      <c r="H40" s="1">
        <v>9.1377314814814815E-4</v>
      </c>
      <c r="I40" s="1">
        <v>1.8078703703703703E-3</v>
      </c>
      <c r="K40">
        <v>108181</v>
      </c>
      <c r="L40" s="2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8.9409722222222223E-4</v>
      </c>
      <c r="M40" s="3">
        <f>IF(Table1225[[#This Row],[run 1 times]]="",999.99,IF(Table1225[[#This Row],[run 1 times]]=$S$3,0,MAX(0,ROUND(((Table1225[[#This Row],[run 1 times]]-$S$3)/$S$3)*$S$6,2))))</f>
        <v>484.31</v>
      </c>
      <c r="N40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9.1377314814814815E-4</v>
      </c>
      <c r="O40" s="3">
        <f>IF(Table1225[[#This Row],[run2 times]]="",999.99,IF(Table1225[[#This Row],[run2 times]]=$T$3,0,MAX(0,ROUND(((Table1225[[#This Row],[run2 times]]-$T$3)/$T$3)*$S$6,2))))</f>
        <v>468.45</v>
      </c>
      <c r="P40" s="2">
        <f>IF(OR(Table1225[[#This Row],[run 1 times]]="",Table1225[[#This Row],[run2 times]]=""),"",Table1225[[#This Row],[run 1 times]]+Table1225[[#This Row],[run2 times]])</f>
        <v>1.8078703703703703E-3</v>
      </c>
      <c r="Q40" s="3">
        <f>IF(Table1225[[#This Row],[total time]]="",999.99,IF(Table1225[[#This Row],[total time]]=$U$3,0,MAX(0,ROUND(((Table1225[[#This Row],[total time]]-$U$3)/$U$3)*$S$6,2))))</f>
        <v>476.24</v>
      </c>
    </row>
    <row r="41" spans="1:39" x14ac:dyDescent="0.3">
      <c r="A41">
        <v>27</v>
      </c>
      <c r="B41">
        <v>55</v>
      </c>
      <c r="C41" t="s">
        <v>24</v>
      </c>
      <c r="D41" t="s">
        <v>480</v>
      </c>
      <c r="E41" t="s">
        <v>517</v>
      </c>
      <c r="F41">
        <v>2014</v>
      </c>
      <c r="G41" s="1">
        <v>9.113425925925925E-4</v>
      </c>
      <c r="H41" s="1">
        <v>9.3553240740740738E-4</v>
      </c>
      <c r="I41" s="1">
        <v>1.846875E-3</v>
      </c>
      <c r="K41">
        <v>109934</v>
      </c>
      <c r="L41" s="2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9.113425925925925E-4</v>
      </c>
      <c r="M41" s="3">
        <f>IF(Table1225[[#This Row],[run 1 times]]="",999.99,IF(Table1225[[#This Row],[run 1 times]]=$S$3,0,MAX(0,ROUND(((Table1225[[#This Row],[run 1 times]]-$S$3)/$S$3)*$S$6,2))))</f>
        <v>507.73</v>
      </c>
      <c r="N41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9.3553240740740738E-4</v>
      </c>
      <c r="O41" s="3">
        <f>IF(Table1225[[#This Row],[run2 times]]="",999.99,IF(Table1225[[#This Row],[run2 times]]=$T$3,0,MAX(0,ROUND(((Table1225[[#This Row],[run2 times]]-$T$3)/$T$3)*$S$6,2))))</f>
        <v>496.99</v>
      </c>
      <c r="P41" s="2">
        <f>IF(OR(Table1225[[#This Row],[run 1 times]]="",Table1225[[#This Row],[run2 times]]=""),"",Table1225[[#This Row],[run 1 times]]+Table1225[[#This Row],[run2 times]])</f>
        <v>1.846875E-3</v>
      </c>
      <c r="Q41" s="3">
        <f>IF(Table1225[[#This Row],[total time]]="",999.99,IF(Table1225[[#This Row],[total time]]=$U$3,0,MAX(0,ROUND(((Table1225[[#This Row],[total time]]-$U$3)/$U$3)*$S$6,2))))</f>
        <v>502.27</v>
      </c>
    </row>
    <row r="42" spans="1:39" x14ac:dyDescent="0.3">
      <c r="A42">
        <v>13</v>
      </c>
      <c r="B42">
        <v>41</v>
      </c>
      <c r="C42" t="s">
        <v>479</v>
      </c>
      <c r="D42" t="s">
        <v>480</v>
      </c>
      <c r="E42" t="s">
        <v>506</v>
      </c>
      <c r="F42">
        <v>2014</v>
      </c>
      <c r="G42" s="1">
        <v>9.2581018518518511E-4</v>
      </c>
      <c r="H42" s="1">
        <v>9.8935185185185194E-4</v>
      </c>
      <c r="I42" s="1">
        <v>1.915162037037037E-3</v>
      </c>
      <c r="K42">
        <v>110040</v>
      </c>
      <c r="L42" s="2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9.2581018518518511E-4</v>
      </c>
      <c r="M42" s="3">
        <f>IF(Table1225[[#This Row],[run 1 times]]="",999.99,IF(Table1225[[#This Row],[run 1 times]]=$S$3,0,MAX(0,ROUND(((Table1225[[#This Row],[run 1 times]]-$S$3)/$S$3)*$S$6,2))))</f>
        <v>527.38</v>
      </c>
      <c r="N42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9.8935185185185194E-4</v>
      </c>
      <c r="O42" s="3">
        <f>IF(Table1225[[#This Row],[run2 times]]="",999.99,IF(Table1225[[#This Row],[run2 times]]=$T$3,0,MAX(0,ROUND(((Table1225[[#This Row],[run2 times]]-$T$3)/$T$3)*$S$6,2))))</f>
        <v>567.58000000000004</v>
      </c>
      <c r="P42" s="2">
        <f>IF(OR(Table1225[[#This Row],[run 1 times]]="",Table1225[[#This Row],[run2 times]]=""),"",Table1225[[#This Row],[run 1 times]]+Table1225[[#This Row],[run2 times]])</f>
        <v>1.915162037037037E-3</v>
      </c>
      <c r="Q42" s="3">
        <f>IF(Table1225[[#This Row],[total time]]="",999.99,IF(Table1225[[#This Row],[total time]]=$U$3,0,MAX(0,ROUND(((Table1225[[#This Row],[total time]]-$U$3)/$U$3)*$S$6,2))))</f>
        <v>547.83000000000004</v>
      </c>
    </row>
    <row r="43" spans="1:39" x14ac:dyDescent="0.3">
      <c r="A43">
        <v>12</v>
      </c>
      <c r="B43">
        <v>40</v>
      </c>
      <c r="C43" t="s">
        <v>257</v>
      </c>
      <c r="D43" t="s">
        <v>522</v>
      </c>
      <c r="E43" t="s">
        <v>536</v>
      </c>
      <c r="F43">
        <v>2013</v>
      </c>
      <c r="G43" s="1">
        <v>9.7673611111111116E-4</v>
      </c>
      <c r="H43" s="1">
        <v>9.8425925925925916E-4</v>
      </c>
      <c r="I43" s="1">
        <v>1.9609953703703703E-3</v>
      </c>
      <c r="K43">
        <v>107310</v>
      </c>
      <c r="L43" s="2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9.7673611111111116E-4</v>
      </c>
      <c r="M43" s="3">
        <f>IF(Table1225[[#This Row],[run 1 times]]="",999.99,IF(Table1225[[#This Row],[run 1 times]]=$S$3,0,MAX(0,ROUND(((Table1225[[#This Row],[run 1 times]]-$S$3)/$S$3)*$S$6,2))))</f>
        <v>596.54</v>
      </c>
      <c r="N43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9.8425925925925916E-4</v>
      </c>
      <c r="O43" s="3">
        <f>IF(Table1225[[#This Row],[run2 times]]="",999.99,IF(Table1225[[#This Row],[run2 times]]=$T$3,0,MAX(0,ROUND(((Table1225[[#This Row],[run2 times]]-$T$3)/$T$3)*$S$6,2))))</f>
        <v>560.9</v>
      </c>
      <c r="P43" s="2">
        <f>IF(OR(Table1225[[#This Row],[run 1 times]]="",Table1225[[#This Row],[run2 times]]=""),"",Table1225[[#This Row],[run 1 times]]+Table1225[[#This Row],[run2 times]])</f>
        <v>1.9609953703703703E-3</v>
      </c>
      <c r="Q43" s="3">
        <f>IF(Table1225[[#This Row],[total time]]="",999.99,IF(Table1225[[#This Row],[total time]]=$U$3,0,MAX(0,ROUND(((Table1225[[#This Row],[total time]]-$U$3)/$U$3)*$S$6,2))))</f>
        <v>578.41</v>
      </c>
    </row>
    <row r="44" spans="1:39" x14ac:dyDescent="0.3">
      <c r="A44">
        <v>11</v>
      </c>
      <c r="B44">
        <v>39</v>
      </c>
      <c r="C44" t="s">
        <v>24</v>
      </c>
      <c r="D44" t="s">
        <v>480</v>
      </c>
      <c r="E44" t="s">
        <v>508</v>
      </c>
      <c r="F44">
        <v>2015</v>
      </c>
      <c r="G44" s="1">
        <v>9.9108796296296293E-4</v>
      </c>
      <c r="H44" s="1">
        <v>1.0410879629629631E-3</v>
      </c>
      <c r="I44" s="1">
        <v>2.0321759259259256E-3</v>
      </c>
      <c r="K44">
        <v>112415</v>
      </c>
      <c r="L44" s="2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9.9108796296296293E-4</v>
      </c>
      <c r="M44" s="3">
        <f>IF(Table1225[[#This Row],[run 1 times]]="",999.99,IF(Table1225[[#This Row],[run 1 times]]=$S$3,0,MAX(0,ROUND(((Table1225[[#This Row],[run 1 times]]-$S$3)/$S$3)*$S$6,2))))</f>
        <v>616.04</v>
      </c>
      <c r="N44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1.0410879629629631E-3</v>
      </c>
      <c r="O44" s="3">
        <f>IF(Table1225[[#This Row],[run2 times]]="",999.99,IF(Table1225[[#This Row],[run2 times]]=$T$3,0,MAX(0,ROUND(((Table1225[[#This Row],[run2 times]]-$T$3)/$T$3)*$S$6,2))))</f>
        <v>635.42999999999995</v>
      </c>
      <c r="P44" s="2">
        <f>IF(OR(Table1225[[#This Row],[run 1 times]]="",Table1225[[#This Row],[run2 times]]=""),"",Table1225[[#This Row],[run 1 times]]+Table1225[[#This Row],[run2 times]])</f>
        <v>2.032175925925926E-3</v>
      </c>
      <c r="Q44" s="3">
        <f>IF(Table1225[[#This Row],[total time]]="",999.99,IF(Table1225[[#This Row],[total time]]=$U$3,0,MAX(0,ROUND(((Table1225[[#This Row],[total time]]-$U$3)/$U$3)*$S$6,2))))</f>
        <v>625.9</v>
      </c>
    </row>
    <row r="45" spans="1:39" x14ac:dyDescent="0.3">
      <c r="A45">
        <v>45</v>
      </c>
      <c r="B45">
        <v>17</v>
      </c>
      <c r="C45" t="s">
        <v>24</v>
      </c>
      <c r="D45" t="s">
        <v>522</v>
      </c>
      <c r="E45" t="s">
        <v>537</v>
      </c>
      <c r="F45">
        <v>2012</v>
      </c>
      <c r="G45" s="1" t="s">
        <v>510</v>
      </c>
      <c r="H45" s="1" t="s">
        <v>510</v>
      </c>
      <c r="I45" s="1"/>
      <c r="K45">
        <v>102772</v>
      </c>
      <c r="L45" s="2" t="str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45" s="3">
        <f>IF(Table1225[[#This Row],[run 1 times]]="",999.99,IF(Table1225[[#This Row],[run 1 times]]=$S$3,0,MAX(0,ROUND(((Table1225[[#This Row],[run 1 times]]-$S$3)/$S$3)*$S$6,2))))</f>
        <v>999.99</v>
      </c>
      <c r="N45" s="2" t="str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45" s="3">
        <f>IF(Table1225[[#This Row],[run2 times]]="",999.99,IF(Table1225[[#This Row],[run2 times]]=$T$3,0,MAX(0,ROUND(((Table1225[[#This Row],[run2 times]]-$T$3)/$T$3)*$S$6,2))))</f>
        <v>999.99</v>
      </c>
      <c r="P45" s="2" t="str">
        <f>IF(OR(Table1225[[#This Row],[run 1 times]]="",Table1225[[#This Row],[run2 times]]=""),"",Table1225[[#This Row],[run 1 times]]+Table1225[[#This Row],[run2 times]])</f>
        <v/>
      </c>
      <c r="Q45" s="3">
        <f>IF(Table1225[[#This Row],[total time]]="",999.99,IF(Table1225[[#This Row],[total time]]=$U$3,0,MAX(0,ROUND(((Table1225[[#This Row],[total time]]-$U$3)/$U$3)*$S$6,2))))</f>
        <v>999.99</v>
      </c>
    </row>
    <row r="46" spans="1:39" x14ac:dyDescent="0.3">
      <c r="A46">
        <v>39</v>
      </c>
      <c r="B46">
        <v>11</v>
      </c>
      <c r="C46" t="s">
        <v>257</v>
      </c>
      <c r="D46" t="s">
        <v>522</v>
      </c>
      <c r="E46" t="s">
        <v>534</v>
      </c>
      <c r="F46">
        <v>2013</v>
      </c>
      <c r="G46" s="1" t="s">
        <v>510</v>
      </c>
      <c r="H46" s="1" t="s">
        <v>510</v>
      </c>
      <c r="I46" s="1"/>
      <c r="K46">
        <v>107308</v>
      </c>
      <c r="L46" s="2" t="str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46" s="3">
        <f>IF(Table1225[[#This Row],[run 1 times]]="",999.99,IF(Table1225[[#This Row],[run 1 times]]=$S$3,0,MAX(0,ROUND(((Table1225[[#This Row],[run 1 times]]-$S$3)/$S$3)*$S$6,2))))</f>
        <v>999.99</v>
      </c>
      <c r="N46" s="2" t="str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46" s="3">
        <f>IF(Table1225[[#This Row],[run2 times]]="",999.99,IF(Table1225[[#This Row],[run2 times]]=$T$3,0,MAX(0,ROUND(((Table1225[[#This Row],[run2 times]]-$T$3)/$T$3)*$S$6,2))))</f>
        <v>999.99</v>
      </c>
      <c r="P46" s="2" t="str">
        <f>IF(OR(Table1225[[#This Row],[run 1 times]]="",Table1225[[#This Row],[run2 times]]=""),"",Table1225[[#This Row],[run 1 times]]+Table1225[[#This Row],[run2 times]])</f>
        <v/>
      </c>
      <c r="Q46" s="3">
        <f>IF(Table1225[[#This Row],[total time]]="",999.99,IF(Table1225[[#This Row],[total time]]=$U$3,0,MAX(0,ROUND(((Table1225[[#This Row],[total time]]-$U$3)/$U$3)*$S$6,2))))</f>
        <v>999.99</v>
      </c>
    </row>
    <row r="47" spans="1:39" x14ac:dyDescent="0.3">
      <c r="A47">
        <v>31</v>
      </c>
      <c r="B47">
        <v>3</v>
      </c>
      <c r="C47" t="s">
        <v>24</v>
      </c>
      <c r="D47" t="s">
        <v>480</v>
      </c>
      <c r="E47" t="s">
        <v>507</v>
      </c>
      <c r="F47">
        <v>2015</v>
      </c>
      <c r="G47" s="1" t="s">
        <v>510</v>
      </c>
      <c r="H47" s="1" t="s">
        <v>510</v>
      </c>
      <c r="I47" s="1"/>
      <c r="K47">
        <v>123566</v>
      </c>
      <c r="L47" s="2" t="str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47" s="3">
        <f>IF(Table1225[[#This Row],[run 1 times]]="",999.99,IF(Table1225[[#This Row],[run 1 times]]=$S$3,0,MAX(0,ROUND(((Table1225[[#This Row],[run 1 times]]-$S$3)/$S$3)*$S$6,2))))</f>
        <v>999.99</v>
      </c>
      <c r="N47" s="2" t="str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47" s="3">
        <f>IF(Table1225[[#This Row],[run2 times]]="",999.99,IF(Table1225[[#This Row],[run2 times]]=$T$3,0,MAX(0,ROUND(((Table1225[[#This Row],[run2 times]]-$T$3)/$T$3)*$S$6,2))))</f>
        <v>999.99</v>
      </c>
      <c r="P47" s="2" t="str">
        <f>IF(OR(Table1225[[#This Row],[run 1 times]]="",Table1225[[#This Row],[run2 times]]=""),"",Table1225[[#This Row],[run 1 times]]+Table1225[[#This Row],[run2 times]])</f>
        <v/>
      </c>
      <c r="Q47" s="3">
        <f>IF(Table1225[[#This Row],[total time]]="",999.99,IF(Table1225[[#This Row],[total time]]=$U$3,0,MAX(0,ROUND(((Table1225[[#This Row],[total time]]-$U$3)/$U$3)*$S$6,2))))</f>
        <v>999.99</v>
      </c>
    </row>
    <row r="48" spans="1:39" x14ac:dyDescent="0.3">
      <c r="A48">
        <v>56</v>
      </c>
      <c r="B48">
        <v>28</v>
      </c>
      <c r="C48" t="s">
        <v>479</v>
      </c>
      <c r="D48" t="s">
        <v>522</v>
      </c>
      <c r="E48" t="s">
        <v>531</v>
      </c>
      <c r="F48">
        <v>2012</v>
      </c>
      <c r="G48" s="1" t="s">
        <v>512</v>
      </c>
      <c r="H48" s="1">
        <v>57.35</v>
      </c>
      <c r="I48" s="1"/>
      <c r="K48">
        <v>101437</v>
      </c>
      <c r="L48" s="2" t="str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48" s="3">
        <f>IF(Table1225[[#This Row],[run 1 times]]="",999.99,IF(Table1225[[#This Row],[run 1 times]]=$S$3,0,MAX(0,ROUND(((Table1225[[#This Row],[run 1 times]]-$S$3)/$S$3)*$S$6,2))))</f>
        <v>999.99</v>
      </c>
      <c r="N48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6.6377314814814814E-4</v>
      </c>
      <c r="O48" s="3">
        <f>IF(Table1225[[#This Row],[run2 times]]="",999.99,IF(Table1225[[#This Row],[run2 times]]=$T$3,0,MAX(0,ROUND(((Table1225[[#This Row],[run2 times]]-$T$3)/$T$3)*$S$6,2))))</f>
        <v>140.57</v>
      </c>
      <c r="P48" s="2" t="str">
        <f>IF(OR(Table1225[[#This Row],[run 1 times]]="",Table1225[[#This Row],[run2 times]]=""),"",Table1225[[#This Row],[run 1 times]]+Table1225[[#This Row],[run2 times]])</f>
        <v/>
      </c>
      <c r="Q48" s="3">
        <f>IF(Table1225[[#This Row],[total time]]="",999.99,IF(Table1225[[#This Row],[total time]]=$U$3,0,MAX(0,ROUND(((Table1225[[#This Row],[total time]]-$U$3)/$U$3)*$S$6,2))))</f>
        <v>999.99</v>
      </c>
    </row>
    <row r="49" spans="1:17" x14ac:dyDescent="0.3">
      <c r="A49">
        <v>55</v>
      </c>
      <c r="B49">
        <v>27</v>
      </c>
      <c r="C49" t="s">
        <v>257</v>
      </c>
      <c r="D49" t="s">
        <v>522</v>
      </c>
      <c r="E49" t="s">
        <v>535</v>
      </c>
      <c r="F49">
        <v>2012</v>
      </c>
      <c r="G49" s="1" t="s">
        <v>512</v>
      </c>
      <c r="H49" s="1" t="s">
        <v>512</v>
      </c>
      <c r="I49" s="1"/>
      <c r="K49">
        <v>117000</v>
      </c>
      <c r="L49" s="2" t="str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49" s="3">
        <f>IF(Table1225[[#This Row],[run 1 times]]="",999.99,IF(Table1225[[#This Row],[run 1 times]]=$S$3,0,MAX(0,ROUND(((Table1225[[#This Row],[run 1 times]]-$S$3)/$S$3)*$S$6,2))))</f>
        <v>999.99</v>
      </c>
      <c r="N49" s="2" t="str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49" s="3">
        <f>IF(Table1225[[#This Row],[run2 times]]="",999.99,IF(Table1225[[#This Row],[run2 times]]=$T$3,0,MAX(0,ROUND(((Table1225[[#This Row],[run2 times]]-$T$3)/$T$3)*$S$6,2))))</f>
        <v>999.99</v>
      </c>
      <c r="P49" s="2" t="str">
        <f>IF(OR(Table1225[[#This Row],[run 1 times]]="",Table1225[[#This Row],[run2 times]]=""),"",Table1225[[#This Row],[run 1 times]]+Table1225[[#This Row],[run2 times]])</f>
        <v/>
      </c>
      <c r="Q49" s="3">
        <f>IF(Table1225[[#This Row],[total time]]="",999.99,IF(Table1225[[#This Row],[total time]]=$U$3,0,MAX(0,ROUND(((Table1225[[#This Row],[total time]]-$U$3)/$U$3)*$S$6,2))))</f>
        <v>999.99</v>
      </c>
    </row>
    <row r="50" spans="1:17" x14ac:dyDescent="0.3">
      <c r="A50">
        <v>44</v>
      </c>
      <c r="B50">
        <v>16</v>
      </c>
      <c r="C50" t="s">
        <v>257</v>
      </c>
      <c r="D50" t="s">
        <v>480</v>
      </c>
      <c r="E50" t="s">
        <v>520</v>
      </c>
      <c r="F50">
        <v>2015</v>
      </c>
      <c r="G50" s="1" t="s">
        <v>512</v>
      </c>
      <c r="H50" s="1">
        <v>8.9027777777777781E-4</v>
      </c>
      <c r="I50" s="1"/>
      <c r="K50">
        <v>120664</v>
      </c>
      <c r="L50" s="2" t="str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50" s="3">
        <f>IF(Table1225[[#This Row],[run 1 times]]="",999.99,IF(Table1225[[#This Row],[run 1 times]]=$S$3,0,MAX(0,ROUND(((Table1225[[#This Row],[run 1 times]]-$S$3)/$S$3)*$S$6,2))))</f>
        <v>999.99</v>
      </c>
      <c r="N50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8.9027777777777781E-4</v>
      </c>
      <c r="O50" s="3">
        <f>IF(Table1225[[#This Row],[run2 times]]="",999.99,IF(Table1225[[#This Row],[run2 times]]=$T$3,0,MAX(0,ROUND(((Table1225[[#This Row],[run2 times]]-$T$3)/$T$3)*$S$6,2))))</f>
        <v>437.64</v>
      </c>
      <c r="P50" s="2" t="str">
        <f>IF(OR(Table1225[[#This Row],[run 1 times]]="",Table1225[[#This Row],[run2 times]]=""),"",Table1225[[#This Row],[run 1 times]]+Table1225[[#This Row],[run2 times]])</f>
        <v/>
      </c>
      <c r="Q50" s="3">
        <f>IF(Table1225[[#This Row],[total time]]="",999.99,IF(Table1225[[#This Row],[total time]]=$U$3,0,MAX(0,ROUND(((Table1225[[#This Row],[total time]]-$U$3)/$U$3)*$S$6,2))))</f>
        <v>999.99</v>
      </c>
    </row>
    <row r="51" spans="1:17" x14ac:dyDescent="0.3">
      <c r="A51">
        <v>42</v>
      </c>
      <c r="B51">
        <v>14</v>
      </c>
      <c r="C51" t="s">
        <v>373</v>
      </c>
      <c r="D51" t="s">
        <v>480</v>
      </c>
      <c r="E51" t="s">
        <v>502</v>
      </c>
      <c r="F51">
        <v>2014</v>
      </c>
      <c r="G51" s="1" t="s">
        <v>512</v>
      </c>
      <c r="H51" s="1">
        <v>8.4999999999999995E-4</v>
      </c>
      <c r="I51" s="1"/>
      <c r="K51">
        <v>122059</v>
      </c>
      <c r="L51" s="2" t="str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51" s="3">
        <f>IF(Table1225[[#This Row],[run 1 times]]="",999.99,IF(Table1225[[#This Row],[run 1 times]]=$S$3,0,MAX(0,ROUND(((Table1225[[#This Row],[run 1 times]]-$S$3)/$S$3)*$S$6,2))))</f>
        <v>999.99</v>
      </c>
      <c r="N51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8.4999999999999995E-4</v>
      </c>
      <c r="O51" s="3">
        <f>IF(Table1225[[#This Row],[run2 times]]="",999.99,IF(Table1225[[#This Row],[run2 times]]=$T$3,0,MAX(0,ROUND(((Table1225[[#This Row],[run2 times]]-$T$3)/$T$3)*$S$6,2))))</f>
        <v>384.81</v>
      </c>
      <c r="P51" s="2" t="str">
        <f>IF(OR(Table1225[[#This Row],[run 1 times]]="",Table1225[[#This Row],[run2 times]]=""),"",Table1225[[#This Row],[run 1 times]]+Table1225[[#This Row],[run2 times]])</f>
        <v/>
      </c>
      <c r="Q51" s="3">
        <f>IF(Table1225[[#This Row],[total time]]="",999.99,IF(Table1225[[#This Row],[total time]]=$U$3,0,MAX(0,ROUND(((Table1225[[#This Row],[total time]]-$U$3)/$U$3)*$S$6,2))))</f>
        <v>999.99</v>
      </c>
    </row>
    <row r="52" spans="1:17" x14ac:dyDescent="0.3">
      <c r="A52">
        <v>38</v>
      </c>
      <c r="B52">
        <v>10</v>
      </c>
      <c r="C52" t="s">
        <v>479</v>
      </c>
      <c r="D52" t="s">
        <v>522</v>
      </c>
      <c r="E52" t="s">
        <v>545</v>
      </c>
      <c r="F52">
        <v>2013</v>
      </c>
      <c r="G52" s="1" t="s">
        <v>512</v>
      </c>
      <c r="H52" s="1">
        <v>8.4571759259259246E-4</v>
      </c>
      <c r="I52" s="1"/>
      <c r="K52">
        <v>103279</v>
      </c>
      <c r="L52" s="2" t="str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52" s="3">
        <f>IF(Table1225[[#This Row],[run 1 times]]="",999.99,IF(Table1225[[#This Row],[run 1 times]]=$S$3,0,MAX(0,ROUND(((Table1225[[#This Row],[run 1 times]]-$S$3)/$S$3)*$S$6,2))))</f>
        <v>999.99</v>
      </c>
      <c r="N52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8.4571759259259246E-4</v>
      </c>
      <c r="O52" s="3">
        <f>IF(Table1225[[#This Row],[run2 times]]="",999.99,IF(Table1225[[#This Row],[run2 times]]=$T$3,0,MAX(0,ROUND(((Table1225[[#This Row],[run2 times]]-$T$3)/$T$3)*$S$6,2))))</f>
        <v>379.19</v>
      </c>
      <c r="P52" s="2" t="str">
        <f>IF(OR(Table1225[[#This Row],[run 1 times]]="",Table1225[[#This Row],[run2 times]]=""),"",Table1225[[#This Row],[run 1 times]]+Table1225[[#This Row],[run2 times]])</f>
        <v/>
      </c>
      <c r="Q52" s="3">
        <f>IF(Table1225[[#This Row],[total time]]="",999.99,IF(Table1225[[#This Row],[total time]]=$U$3,0,MAX(0,ROUND(((Table1225[[#This Row],[total time]]-$U$3)/$U$3)*$S$6,2))))</f>
        <v>999.99</v>
      </c>
    </row>
    <row r="53" spans="1:17" x14ac:dyDescent="0.3">
      <c r="A53">
        <v>22</v>
      </c>
      <c r="B53">
        <v>50</v>
      </c>
      <c r="C53" t="s">
        <v>24</v>
      </c>
      <c r="D53" t="s">
        <v>522</v>
      </c>
      <c r="E53" t="s">
        <v>529</v>
      </c>
      <c r="F53">
        <v>2013</v>
      </c>
      <c r="G53" s="1" t="s">
        <v>512</v>
      </c>
      <c r="H53" s="1" t="s">
        <v>512</v>
      </c>
      <c r="I53" s="1"/>
      <c r="K53">
        <v>93764</v>
      </c>
      <c r="L53" s="2" t="str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53" s="3">
        <f>IF(Table1225[[#This Row],[run 1 times]]="",999.99,IF(Table1225[[#This Row],[run 1 times]]=$S$3,0,MAX(0,ROUND(((Table1225[[#This Row],[run 1 times]]-$S$3)/$S$3)*$S$6,2))))</f>
        <v>999.99</v>
      </c>
      <c r="N53" s="2" t="str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53" s="3">
        <f>IF(Table1225[[#This Row],[run2 times]]="",999.99,IF(Table1225[[#This Row],[run2 times]]=$T$3,0,MAX(0,ROUND(((Table1225[[#This Row],[run2 times]]-$T$3)/$T$3)*$S$6,2))))</f>
        <v>999.99</v>
      </c>
      <c r="P53" s="2" t="str">
        <f>IF(OR(Table1225[[#This Row],[run 1 times]]="",Table1225[[#This Row],[run2 times]]=""),"",Table1225[[#This Row],[run 1 times]]+Table1225[[#This Row],[run2 times]])</f>
        <v/>
      </c>
      <c r="Q53" s="3">
        <f>IF(Table1225[[#This Row],[total time]]="",999.99,IF(Table1225[[#This Row],[total time]]=$U$3,0,MAX(0,ROUND(((Table1225[[#This Row],[total time]]-$U$3)/$U$3)*$S$6,2))))</f>
        <v>999.99</v>
      </c>
    </row>
    <row r="54" spans="1:17" x14ac:dyDescent="0.3">
      <c r="A54">
        <v>9</v>
      </c>
      <c r="B54">
        <v>37</v>
      </c>
      <c r="C54" t="s">
        <v>487</v>
      </c>
      <c r="D54" t="s">
        <v>480</v>
      </c>
      <c r="E54" t="s">
        <v>514</v>
      </c>
      <c r="F54">
        <v>2014</v>
      </c>
      <c r="G54" s="1" t="s">
        <v>512</v>
      </c>
      <c r="H54" s="1">
        <v>7.1018518518518522E-4</v>
      </c>
      <c r="I54" s="1"/>
      <c r="K54">
        <v>108289</v>
      </c>
      <c r="L54" s="2" t="str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54" s="3">
        <f>IF(Table1225[[#This Row],[run 1 times]]="",999.99,IF(Table1225[[#This Row],[run 1 times]]=$S$3,0,MAX(0,ROUND(((Table1225[[#This Row],[run 1 times]]-$S$3)/$S$3)*$S$6,2))))</f>
        <v>999.99</v>
      </c>
      <c r="N54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7.1018518518518522E-4</v>
      </c>
      <c r="O54" s="3">
        <f>IF(Table1225[[#This Row],[run2 times]]="",999.99,IF(Table1225[[#This Row],[run2 times]]=$T$3,0,MAX(0,ROUND(((Table1225[[#This Row],[run2 times]]-$T$3)/$T$3)*$S$6,2))))</f>
        <v>201.44</v>
      </c>
      <c r="P54" s="2" t="str">
        <f>IF(OR(Table1225[[#This Row],[run 1 times]]="",Table1225[[#This Row],[run2 times]]=""),"",Table1225[[#This Row],[run 1 times]]+Table1225[[#This Row],[run2 times]])</f>
        <v/>
      </c>
      <c r="Q54" s="3">
        <f>IF(Table1225[[#This Row],[total time]]="",999.99,IF(Table1225[[#This Row],[total time]]=$U$3,0,MAX(0,ROUND(((Table1225[[#This Row],[total time]]-$U$3)/$U$3)*$S$6,2))))</f>
        <v>999.99</v>
      </c>
    </row>
    <row r="55" spans="1:17" x14ac:dyDescent="0.3">
      <c r="A55">
        <v>8</v>
      </c>
      <c r="B55">
        <v>36</v>
      </c>
      <c r="C55" t="s">
        <v>479</v>
      </c>
      <c r="D55" t="s">
        <v>480</v>
      </c>
      <c r="E55" t="s">
        <v>515</v>
      </c>
      <c r="F55">
        <v>2014</v>
      </c>
      <c r="G55" s="1" t="s">
        <v>512</v>
      </c>
      <c r="H55" s="1" t="s">
        <v>512</v>
      </c>
      <c r="I55" s="1"/>
      <c r="K55">
        <v>101435</v>
      </c>
      <c r="L55" s="2" t="str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55" s="3">
        <f>IF(Table1225[[#This Row],[run 1 times]]="",999.99,IF(Table1225[[#This Row],[run 1 times]]=$S$3,0,MAX(0,ROUND(((Table1225[[#This Row],[run 1 times]]-$S$3)/$S$3)*$S$6,2))))</f>
        <v>999.99</v>
      </c>
      <c r="N55" s="2" t="str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55" s="3">
        <f>IF(Table1225[[#This Row],[run2 times]]="",999.99,IF(Table1225[[#This Row],[run2 times]]=$T$3,0,MAX(0,ROUND(((Table1225[[#This Row],[run2 times]]-$T$3)/$T$3)*$S$6,2))))</f>
        <v>999.99</v>
      </c>
      <c r="P55" s="2" t="str">
        <f>IF(OR(Table1225[[#This Row],[run 1 times]]="",Table1225[[#This Row],[run2 times]]=""),"",Table1225[[#This Row],[run 1 times]]+Table1225[[#This Row],[run2 times]])</f>
        <v/>
      </c>
      <c r="Q55" s="3">
        <f>IF(Table1225[[#This Row],[total time]]="",999.99,IF(Table1225[[#This Row],[total time]]=$U$3,0,MAX(0,ROUND(((Table1225[[#This Row],[total time]]-$U$3)/$U$3)*$S$6,2))))</f>
        <v>999.99</v>
      </c>
    </row>
    <row r="56" spans="1:17" x14ac:dyDescent="0.3">
      <c r="A56">
        <v>6</v>
      </c>
      <c r="B56">
        <v>34</v>
      </c>
      <c r="C56" t="s">
        <v>487</v>
      </c>
      <c r="D56" t="s">
        <v>480</v>
      </c>
      <c r="E56" t="s">
        <v>516</v>
      </c>
      <c r="F56">
        <v>2014</v>
      </c>
      <c r="G56" s="1" t="s">
        <v>512</v>
      </c>
      <c r="H56" s="1">
        <v>8.5254629629629623E-4</v>
      </c>
      <c r="I56" s="1"/>
      <c r="K56">
        <v>118201</v>
      </c>
      <c r="L56" s="2" t="str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56" s="3">
        <f>IF(Table1225[[#This Row],[run 1 times]]="",999.99,IF(Table1225[[#This Row],[run 1 times]]=$S$3,0,MAX(0,ROUND(((Table1225[[#This Row],[run 1 times]]-$S$3)/$S$3)*$S$6,2))))</f>
        <v>999.99</v>
      </c>
      <c r="N56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8.5254629629629623E-4</v>
      </c>
      <c r="O56" s="3">
        <f>IF(Table1225[[#This Row],[run2 times]]="",999.99,IF(Table1225[[#This Row],[run2 times]]=$T$3,0,MAX(0,ROUND(((Table1225[[#This Row],[run2 times]]-$T$3)/$T$3)*$S$6,2))))</f>
        <v>388.15</v>
      </c>
      <c r="P56" s="2" t="str">
        <f>IF(OR(Table1225[[#This Row],[run 1 times]]="",Table1225[[#This Row],[run2 times]]=""),"",Table1225[[#This Row],[run 1 times]]+Table1225[[#This Row],[run2 times]])</f>
        <v/>
      </c>
      <c r="Q56" s="3">
        <f>IF(Table1225[[#This Row],[total time]]="",999.99,IF(Table1225[[#This Row],[total time]]=$U$3,0,MAX(0,ROUND(((Table1225[[#This Row],[total time]]-$U$3)/$U$3)*$S$6,2))))</f>
        <v>999.99</v>
      </c>
    </row>
    <row r="57" spans="1:17" x14ac:dyDescent="0.3">
      <c r="A57">
        <v>3</v>
      </c>
      <c r="B57">
        <v>31</v>
      </c>
      <c r="C57" t="s">
        <v>257</v>
      </c>
      <c r="D57" t="s">
        <v>522</v>
      </c>
      <c r="E57" t="s">
        <v>532</v>
      </c>
      <c r="F57">
        <v>2013</v>
      </c>
      <c r="G57" s="1" t="s">
        <v>512</v>
      </c>
      <c r="H57" s="1">
        <v>56.75</v>
      </c>
      <c r="I57" s="1"/>
      <c r="K57">
        <v>117693</v>
      </c>
      <c r="L57" s="2" t="str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57" s="3">
        <f>IF(Table1225[[#This Row],[run 1 times]]="",999.99,IF(Table1225[[#This Row],[run 1 times]]=$S$3,0,MAX(0,ROUND(((Table1225[[#This Row],[run 1 times]]-$S$3)/$S$3)*$S$6,2))))</f>
        <v>999.99</v>
      </c>
      <c r="N57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6.5682870370370374E-4</v>
      </c>
      <c r="O57" s="3">
        <f>IF(Table1225[[#This Row],[run2 times]]="",999.99,IF(Table1225[[#This Row],[run2 times]]=$T$3,0,MAX(0,ROUND(((Table1225[[#This Row],[run2 times]]-$T$3)/$T$3)*$S$6,2))))</f>
        <v>131.46</v>
      </c>
      <c r="P57" s="2" t="str">
        <f>IF(OR(Table1225[[#This Row],[run 1 times]]="",Table1225[[#This Row],[run2 times]]=""),"",Table1225[[#This Row],[run 1 times]]+Table1225[[#This Row],[run2 times]])</f>
        <v/>
      </c>
      <c r="Q57" s="3">
        <f>IF(Table1225[[#This Row],[total time]]="",999.99,IF(Table1225[[#This Row],[total time]]=$U$3,0,MAX(0,ROUND(((Table1225[[#This Row],[total time]]-$U$3)/$U$3)*$S$6,2))))</f>
        <v>999.99</v>
      </c>
    </row>
    <row r="58" spans="1:17" x14ac:dyDescent="0.3">
      <c r="A58">
        <v>35</v>
      </c>
      <c r="B58">
        <v>7</v>
      </c>
      <c r="C58" t="s">
        <v>24</v>
      </c>
      <c r="D58" t="s">
        <v>522</v>
      </c>
      <c r="E58" t="s">
        <v>546</v>
      </c>
      <c r="F58">
        <v>2012</v>
      </c>
      <c r="G58" s="1" t="s">
        <v>518</v>
      </c>
      <c r="H58" s="1">
        <v>55.05</v>
      </c>
      <c r="I58" s="1"/>
      <c r="K58">
        <v>102776</v>
      </c>
      <c r="L58" s="2" t="str">
        <f>_xlfn.LET(_xlpm.x,Table1225[[#This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58" s="3">
        <f>IF(Table1225[[#This Row],[run 1 times]]="",999.99,IF(Table1225[[#This Row],[run 1 times]]=$S$3,0,MAX(0,ROUND(((Table1225[[#This Row],[run 1 times]]-$S$3)/$S$3)*$S$6,2))))</f>
        <v>999.99</v>
      </c>
      <c r="N58" s="2">
        <f>_xlfn.LET(_xlpm.x,Table1225[[#This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6.3715277777777772E-4</v>
      </c>
      <c r="O58" s="3">
        <f>IF(Table1225[[#This Row],[run2 times]]="",999.99,IF(Table1225[[#This Row],[run2 times]]=$T$3,0,MAX(0,ROUND(((Table1225[[#This Row],[run2 times]]-$T$3)/$T$3)*$S$6,2))))</f>
        <v>105.65</v>
      </c>
      <c r="P58" s="2" t="str">
        <f>IF(OR(Table1225[[#This Row],[run 1 times]]="",Table1225[[#This Row],[run2 times]]=""),"",Table1225[[#This Row],[run 1 times]]+Table1225[[#This Row],[run2 times]])</f>
        <v/>
      </c>
      <c r="Q58" s="3">
        <f>IF(Table1225[[#This Row],[total time]]="",999.99,IF(Table1225[[#This Row],[total time]]=$U$3,0,MAX(0,ROUND(((Table1225[[#This Row],[total time]]-$U$3)/$U$3)*$S$6,2))))</f>
        <v>999.99</v>
      </c>
    </row>
  </sheetData>
  <mergeCells count="2">
    <mergeCell ref="A1:U1"/>
    <mergeCell ref="W1:AQ1"/>
  </mergeCells>
  <pageMargins left="0.7" right="0.7" top="0.75" bottom="0.75" header="0.3" footer="0.3"/>
  <tableParts count="6">
    <tablePart r:id="rId1"/>
    <tablePart r:id="rId2"/>
    <tablePart r:id="rId3"/>
    <tablePart r:id="rId4"/>
    <tablePart r:id="rId5"/>
    <tablePart r:id="rId6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BA91A8-CD0B-4D04-A5E9-57A234E21231}">
  <dimension ref="A1:AQ49"/>
  <sheetViews>
    <sheetView topLeftCell="U1" workbookViewId="0">
      <selection activeCell="AD3" sqref="AD3:AD30"/>
    </sheetView>
  </sheetViews>
  <sheetFormatPr defaultRowHeight="14.4" x14ac:dyDescent="0.3"/>
  <cols>
    <col min="1" max="1" width="13.5546875" customWidth="1"/>
    <col min="3" max="3" width="12.109375" customWidth="1"/>
    <col min="5" max="5" width="14.88671875" bestFit="1" customWidth="1"/>
    <col min="6" max="6" width="12.5546875" customWidth="1"/>
    <col min="7" max="7" width="15.21875" customWidth="1"/>
    <col min="8" max="8" width="17.6640625" customWidth="1"/>
    <col min="9" max="9" width="16.44140625" customWidth="1"/>
    <col min="10" max="10" width="12.21875" customWidth="1"/>
    <col min="11" max="11" width="13.109375" customWidth="1"/>
    <col min="12" max="12" width="11.6640625" customWidth="1"/>
    <col min="13" max="13" width="12.109375" customWidth="1"/>
    <col min="14" max="14" width="11.33203125" customWidth="1"/>
    <col min="15" max="15" width="12.109375" customWidth="1"/>
    <col min="16" max="16" width="10.33203125" customWidth="1"/>
    <col min="17" max="17" width="13.88671875" customWidth="1"/>
    <col min="19" max="19" width="14.5546875" customWidth="1"/>
    <col min="20" max="20" width="15.5546875" customWidth="1"/>
    <col min="21" max="21" width="18.5546875" customWidth="1"/>
  </cols>
  <sheetData>
    <row r="1" spans="1:43" ht="21" x14ac:dyDescent="0.4">
      <c r="A1" s="8" t="s">
        <v>589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W1" s="8" t="s">
        <v>590</v>
      </c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</row>
    <row r="2" spans="1:43" x14ac:dyDescent="0.3">
      <c r="A2" t="s">
        <v>459</v>
      </c>
      <c r="B2" t="s">
        <v>460</v>
      </c>
      <c r="C2" t="s">
        <v>461</v>
      </c>
      <c r="D2" t="s">
        <v>462</v>
      </c>
      <c r="E2" t="s">
        <v>463</v>
      </c>
      <c r="F2" t="s">
        <v>464</v>
      </c>
      <c r="G2" t="s">
        <v>465</v>
      </c>
      <c r="H2" t="s">
        <v>466</v>
      </c>
      <c r="I2" t="s">
        <v>467</v>
      </c>
      <c r="J2" t="s">
        <v>468</v>
      </c>
      <c r="K2" t="s">
        <v>469</v>
      </c>
      <c r="L2" t="s">
        <v>470</v>
      </c>
      <c r="M2" t="s">
        <v>471</v>
      </c>
      <c r="N2" t="s">
        <v>472</v>
      </c>
      <c r="O2" t="s">
        <v>473</v>
      </c>
      <c r="P2" t="s">
        <v>474</v>
      </c>
      <c r="Q2" t="s">
        <v>475</v>
      </c>
      <c r="S2" t="s">
        <v>476</v>
      </c>
      <c r="T2" t="s">
        <v>477</v>
      </c>
      <c r="U2" t="s">
        <v>478</v>
      </c>
      <c r="W2" t="s">
        <v>459</v>
      </c>
      <c r="X2" t="s">
        <v>460</v>
      </c>
      <c r="Y2" t="s">
        <v>461</v>
      </c>
      <c r="Z2" t="s">
        <v>462</v>
      </c>
      <c r="AA2" t="s">
        <v>463</v>
      </c>
      <c r="AB2" t="s">
        <v>464</v>
      </c>
      <c r="AC2" t="s">
        <v>465</v>
      </c>
      <c r="AD2" t="s">
        <v>466</v>
      </c>
      <c r="AE2" t="s">
        <v>467</v>
      </c>
      <c r="AF2" t="s">
        <v>468</v>
      </c>
      <c r="AG2" t="s">
        <v>469</v>
      </c>
      <c r="AH2" t="s">
        <v>470</v>
      </c>
      <c r="AI2" t="s">
        <v>471</v>
      </c>
      <c r="AJ2" t="s">
        <v>472</v>
      </c>
      <c r="AK2" t="s">
        <v>473</v>
      </c>
      <c r="AL2" t="s">
        <v>474</v>
      </c>
      <c r="AM2" t="s">
        <v>475</v>
      </c>
      <c r="AO2" t="s">
        <v>476</v>
      </c>
      <c r="AP2" t="s">
        <v>477</v>
      </c>
      <c r="AQ2" t="s">
        <v>478</v>
      </c>
    </row>
    <row r="3" spans="1:43" x14ac:dyDescent="0.3">
      <c r="A3">
        <v>25</v>
      </c>
      <c r="B3">
        <v>1</v>
      </c>
      <c r="C3" t="s">
        <v>479</v>
      </c>
      <c r="D3" t="s">
        <v>522</v>
      </c>
      <c r="E3" t="s">
        <v>668</v>
      </c>
      <c r="F3">
        <v>2013</v>
      </c>
      <c r="G3" s="1">
        <v>47.11</v>
      </c>
      <c r="H3" s="1">
        <v>45.45</v>
      </c>
      <c r="I3" s="1">
        <v>1.0712962962962963E-3</v>
      </c>
      <c r="K3">
        <v>101440</v>
      </c>
      <c r="L3" s="2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5.4525462962962958E-4</v>
      </c>
      <c r="M3" s="3">
        <f>IF(Table12716[[#This Row],[run 1 times]]="",999.99,IF(Table12716[[#This Row],[run 1 times]]=$S$3,0,MAX(0,ROUND(((Table12716[[#This Row],[run 1 times]]-$S$3)/$S$3)*$S$6,2))))</f>
        <v>12.77</v>
      </c>
      <c r="N3" s="2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5.2604166666666674E-4</v>
      </c>
      <c r="O3" s="3">
        <f>IF(Table12716[[#This Row],[run2 times]]="",999.99,IF(Table12716[[#This Row],[run2 times]]=$T$3,0,MAX(0,ROUND(((Table12716[[#This Row],[run2 times]]-$T$3)/$T$3)*$S$6,2))))</f>
        <v>0</v>
      </c>
      <c r="P3" s="2">
        <f>IF(OR(Table12716[[#This Row],[run 1 times]]="",Table12716[[#This Row],[run2 times]]=""),"",Table12716[[#This Row],[run 1 times]]+Table12716[[#This Row],[run2 times]])</f>
        <v>1.0712962962962963E-3</v>
      </c>
      <c r="Q3" s="3">
        <f>IF(Table12716[[#This Row],[total time]]="",999.99,IF(Table12716[[#This Row],[total time]]=$U$3,0,MAX(0,ROUND(((Table12716[[#This Row],[total time]]-$U$3)/$U$3)*$S$6,2))))</f>
        <v>0</v>
      </c>
      <c r="S3" s="1">
        <f>MIN(Table12716[run 1 times])</f>
        <v>5.3587962962962964E-4</v>
      </c>
      <c r="T3" s="1">
        <f>MIN(Table12716[run2 times])</f>
        <v>5.2604166666666674E-4</v>
      </c>
      <c r="U3" s="1">
        <f>MIN(Table12716[total time])</f>
        <v>1.0712962962962963E-3</v>
      </c>
      <c r="W3">
        <v>12</v>
      </c>
      <c r="X3">
        <v>175</v>
      </c>
      <c r="Y3" t="s">
        <v>479</v>
      </c>
      <c r="Z3" t="s">
        <v>552</v>
      </c>
      <c r="AA3" t="s">
        <v>765</v>
      </c>
      <c r="AB3">
        <v>2009</v>
      </c>
      <c r="AC3" s="1">
        <v>47.44</v>
      </c>
      <c r="AD3" s="1">
        <v>42.09</v>
      </c>
      <c r="AE3" s="1">
        <v>1.0362268518518518E-3</v>
      </c>
      <c r="AG3">
        <v>87824</v>
      </c>
      <c r="AH3" s="2">
        <f>_xlfn.LET(_xlpm.x,Table12211019[[#This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5.49074074074074E-4</v>
      </c>
      <c r="AI3" s="3">
        <f>IF(Table12211019[[#This Row],[run 1 times]]="",999.99,IF(Table12211019[[#This Row],[run 1 times]]=$AO$3,0,MAX(0,ROUND(((Table12211019[[#This Row],[run 1 times]]-$AO$3)/$AO$3)*$AO$6,2))))</f>
        <v>0</v>
      </c>
      <c r="AJ3" s="2">
        <f>_xlfn.LET(_xlpm.x,Table12211019[[#This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4.8715277777777781E-4</v>
      </c>
      <c r="AK3" s="3">
        <f>IF(Table12211019[[#This Row],[run2 times]]="",999.99,IF(Table12211019[[#This Row],[run2 times]]=$AP$3,0,MAX(0,ROUND(((Table12211019[[#This Row],[run2 times]]-$AP$3)/$AP$3)*$AO$6,2))))</f>
        <v>23.45</v>
      </c>
      <c r="AL3" s="2">
        <f>IF(OR(Table12211019[[#This Row],[run 1 times]]="",Table12211019[[#This Row],[run2 times]]=""),"",Table12211019[[#This Row],[run 1 times]]+Table12211019[[#This Row],[run2 times]])</f>
        <v>1.0362268518518518E-3</v>
      </c>
      <c r="AM3" s="3">
        <f>IF(Table12211019[[#This Row],[total time]]="",999.99,IF(Table12211019[[#This Row],[total time]]=$AQ$3,0,MAX(0,ROUND(((Table12211019[[#This Row],[total time]]-$AQ$3)/$AQ$3)*$AO$6,2))))</f>
        <v>0</v>
      </c>
      <c r="AO3" s="1">
        <f>MIN(Table12211019[run 1 times])</f>
        <v>5.49074074074074E-4</v>
      </c>
      <c r="AP3" s="1">
        <f>MIN(Table12211019[run2 times])</f>
        <v>4.7199074074074076E-4</v>
      </c>
      <c r="AQ3" s="1">
        <f>MIN(Table12211019[total time])</f>
        <v>1.0362268518518518E-3</v>
      </c>
    </row>
    <row r="4" spans="1:43" x14ac:dyDescent="0.3">
      <c r="A4">
        <v>42</v>
      </c>
      <c r="B4">
        <v>18</v>
      </c>
      <c r="C4" t="s">
        <v>479</v>
      </c>
      <c r="D4" t="s">
        <v>522</v>
      </c>
      <c r="E4" t="s">
        <v>702</v>
      </c>
      <c r="F4">
        <v>2013</v>
      </c>
      <c r="G4" s="1" t="s">
        <v>512</v>
      </c>
      <c r="H4" s="1">
        <v>46.59</v>
      </c>
      <c r="I4" s="1"/>
      <c r="K4">
        <v>101422</v>
      </c>
      <c r="L4" s="2" t="str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4" s="3">
        <f>IF(Table12716[[#This Row],[run 1 times]]="",999.99,IF(Table12716[[#This Row],[run 1 times]]=$S$3,0,MAX(0,ROUND(((Table12716[[#This Row],[run 1 times]]-$S$3)/$S$3)*$S$6,2))))</f>
        <v>999.99</v>
      </c>
      <c r="N4" s="2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5.392361111111111E-4</v>
      </c>
      <c r="O4" s="3">
        <f>IF(Table12716[[#This Row],[run2 times]]="",999.99,IF(Table12716[[#This Row],[run2 times]]=$T$3,0,MAX(0,ROUND(((Table12716[[#This Row],[run2 times]]-$T$3)/$T$3)*$S$6,2))))</f>
        <v>18.309999999999999</v>
      </c>
      <c r="P4" s="2" t="str">
        <f>IF(OR(Table12716[[#This Row],[run 1 times]]="",Table12716[[#This Row],[run2 times]]=""),"",Table12716[[#This Row],[run 1 times]]+Table12716[[#This Row],[run2 times]])</f>
        <v/>
      </c>
      <c r="Q4" s="3">
        <f>IF(Table12716[[#This Row],[total time]]="",999.99,IF(Table12716[[#This Row],[total time]]=$U$3,0,MAX(0,ROUND(((Table12716[[#This Row],[total time]]-$U$3)/$U$3)*$S$6,2))))</f>
        <v>999.99</v>
      </c>
      <c r="W4">
        <v>7</v>
      </c>
      <c r="X4">
        <v>170</v>
      </c>
      <c r="Y4" t="s">
        <v>479</v>
      </c>
      <c r="Z4" t="s">
        <v>552</v>
      </c>
      <c r="AA4" t="s">
        <v>760</v>
      </c>
      <c r="AB4">
        <v>2009</v>
      </c>
      <c r="AC4" s="1">
        <v>49.9</v>
      </c>
      <c r="AD4" s="1">
        <v>42.92</v>
      </c>
      <c r="AE4" s="1">
        <v>1.0743055555555556E-3</v>
      </c>
      <c r="AG4">
        <v>94627</v>
      </c>
      <c r="AH4" s="2">
        <f>_xlfn.LET(_xlpm.x,Table12211019[[#This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5.7754629629629627E-4</v>
      </c>
      <c r="AI4" s="3">
        <f>IF(Table12211019[[#This Row],[run 1 times]]="",999.99,IF(Table12211019[[#This Row],[run 1 times]]=$AO$3,0,MAX(0,ROUND(((Table12211019[[#This Row],[run 1 times]]-$AO$3)/$AO$3)*$AO$6,2))))</f>
        <v>37.85</v>
      </c>
      <c r="AJ4" s="2">
        <f>_xlfn.LET(_xlpm.x,Table12211019[[#This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4.9675925925925929E-4</v>
      </c>
      <c r="AK4" s="3">
        <f>IF(Table12211019[[#This Row],[run2 times]]="",999.99,IF(Table12211019[[#This Row],[run2 times]]=$AP$3,0,MAX(0,ROUND(((Table12211019[[#This Row],[run2 times]]-$AP$3)/$AP$3)*$AO$6,2))))</f>
        <v>38.31</v>
      </c>
      <c r="AL4" s="2">
        <f>IF(OR(Table12211019[[#This Row],[run 1 times]]="",Table12211019[[#This Row],[run2 times]]=""),"",Table12211019[[#This Row],[run 1 times]]+Table12211019[[#This Row],[run2 times]])</f>
        <v>1.0743055555555556E-3</v>
      </c>
      <c r="AM4" s="3">
        <f>IF(Table12211019[[#This Row],[total time]]="",999.99,IF(Table12211019[[#This Row],[total time]]=$AQ$3,0,MAX(0,ROUND(((Table12211019[[#This Row],[total time]]-$AQ$3)/$AQ$3)*$AO$6,2))))</f>
        <v>26.83</v>
      </c>
    </row>
    <row r="5" spans="1:43" x14ac:dyDescent="0.3">
      <c r="A5">
        <v>35</v>
      </c>
      <c r="B5">
        <v>11</v>
      </c>
      <c r="C5" t="s">
        <v>479</v>
      </c>
      <c r="D5" t="s">
        <v>480</v>
      </c>
      <c r="E5" t="s">
        <v>669</v>
      </c>
      <c r="F5">
        <v>2014</v>
      </c>
      <c r="G5" s="1">
        <v>48.34</v>
      </c>
      <c r="H5" s="1">
        <v>47.74</v>
      </c>
      <c r="I5" s="1">
        <v>1.112037037037037E-3</v>
      </c>
      <c r="K5">
        <v>103277</v>
      </c>
      <c r="L5" s="2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5.5949074074074082E-4</v>
      </c>
      <c r="M5" s="3">
        <f>IF(Table12716[[#This Row],[run 1 times]]="",999.99,IF(Table12716[[#This Row],[run 1 times]]=$S$3,0,MAX(0,ROUND(((Table12716[[#This Row],[run 1 times]]-$S$3)/$S$3)*$S$6,2))))</f>
        <v>32.159999999999997</v>
      </c>
      <c r="N5" s="2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5.5254629629629631E-4</v>
      </c>
      <c r="O5" s="3">
        <f>IF(Table12716[[#This Row],[run2 times]]="",999.99,IF(Table12716[[#This Row],[run2 times]]=$T$3,0,MAX(0,ROUND(((Table12716[[#This Row],[run2 times]]-$T$3)/$T$3)*$S$6,2))))</f>
        <v>36.78</v>
      </c>
      <c r="P5" s="2">
        <f>IF(OR(Table12716[[#This Row],[run 1 times]]="",Table12716[[#This Row],[run2 times]]=""),"",Table12716[[#This Row],[run 1 times]]+Table12716[[#This Row],[run2 times]])</f>
        <v>1.1120370370370372E-3</v>
      </c>
      <c r="Q5" s="3">
        <f>IF(Table12716[[#This Row],[total time]]="",999.99,IF(Table12716[[#This Row],[total time]]=$U$3,0,MAX(0,ROUND(((Table12716[[#This Row],[total time]]-$U$3)/$U$3)*$S$6,2))))</f>
        <v>27.76</v>
      </c>
      <c r="S5" t="s">
        <v>484</v>
      </c>
      <c r="T5" t="s">
        <v>485</v>
      </c>
      <c r="U5" t="s">
        <v>486</v>
      </c>
      <c r="W5">
        <v>3</v>
      </c>
      <c r="X5">
        <v>166</v>
      </c>
      <c r="Y5" t="s">
        <v>223</v>
      </c>
      <c r="Z5" t="s">
        <v>552</v>
      </c>
      <c r="AA5" t="s">
        <v>756</v>
      </c>
      <c r="AB5">
        <v>2008</v>
      </c>
      <c r="AC5" s="1">
        <v>50.95</v>
      </c>
      <c r="AD5" s="1">
        <v>45.53</v>
      </c>
      <c r="AE5" s="1">
        <v>1.1166666666666666E-3</v>
      </c>
      <c r="AG5">
        <v>87549</v>
      </c>
      <c r="AH5" s="2">
        <f>_xlfn.LET(_xlpm.x,Table12211019[[#This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5.8969907407407408E-4</v>
      </c>
      <c r="AI5" s="3">
        <f>IF(Table12211019[[#This Row],[run 1 times]]="",999.99,IF(Table12211019[[#This Row],[run 1 times]]=$AO$3,0,MAX(0,ROUND(((Table12211019[[#This Row],[run 1 times]]-$AO$3)/$AO$3)*$AO$6,2))))</f>
        <v>54.01</v>
      </c>
      <c r="AJ5" s="2">
        <f>_xlfn.LET(_xlpm.x,Table12211019[[#This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5.2696759259259266E-4</v>
      </c>
      <c r="AK5" s="3">
        <f>IF(Table12211019[[#This Row],[run2 times]]="",999.99,IF(Table12211019[[#This Row],[run2 times]]=$AP$3,0,MAX(0,ROUND(((Table12211019[[#This Row],[run2 times]]-$AP$3)/$AP$3)*$AO$6,2))))</f>
        <v>85.03</v>
      </c>
      <c r="AL5" s="2">
        <f>IF(OR(Table12211019[[#This Row],[run 1 times]]="",Table12211019[[#This Row],[run2 times]]=""),"",Table12211019[[#This Row],[run 1 times]]+Table12211019[[#This Row],[run2 times]])</f>
        <v>1.1166666666666668E-3</v>
      </c>
      <c r="AM5" s="3">
        <f>IF(Table12211019[[#This Row],[total time]]="",999.99,IF(Table12211019[[#This Row],[total time]]=$AQ$3,0,MAX(0,ROUND(((Table12211019[[#This Row],[total time]]-$AQ$3)/$AQ$3)*$AO$6,2))))</f>
        <v>56.67</v>
      </c>
      <c r="AO5" t="s">
        <v>484</v>
      </c>
      <c r="AP5" t="s">
        <v>485</v>
      </c>
      <c r="AQ5" t="s">
        <v>486</v>
      </c>
    </row>
    <row r="6" spans="1:43" x14ac:dyDescent="0.3">
      <c r="A6">
        <v>24</v>
      </c>
      <c r="B6">
        <v>47</v>
      </c>
      <c r="C6" t="s">
        <v>257</v>
      </c>
      <c r="D6" t="s">
        <v>522</v>
      </c>
      <c r="E6" t="s">
        <v>709</v>
      </c>
      <c r="F6">
        <v>2012</v>
      </c>
      <c r="G6" s="1">
        <v>46.3</v>
      </c>
      <c r="H6" s="1">
        <v>48.75</v>
      </c>
      <c r="I6" s="1">
        <v>1.1001157407407407E-3</v>
      </c>
      <c r="K6">
        <v>107305</v>
      </c>
      <c r="L6" s="2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5.3587962962962964E-4</v>
      </c>
      <c r="M6" s="3">
        <f>IF(Table12716[[#This Row],[run 1 times]]="",999.99,IF(Table12716[[#This Row],[run 1 times]]=$S$3,0,MAX(0,ROUND(((Table12716[[#This Row],[run 1 times]]-$S$3)/$S$3)*$S$6,2))))</f>
        <v>0</v>
      </c>
      <c r="N6" s="2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5.6423611111111106E-4</v>
      </c>
      <c r="O6" s="3">
        <f>IF(Table12716[[#This Row],[run2 times]]="",999.99,IF(Table12716[[#This Row],[run2 times]]=$T$3,0,MAX(0,ROUND(((Table12716[[#This Row],[run2 times]]-$T$3)/$T$3)*$S$6,2))))</f>
        <v>53</v>
      </c>
      <c r="P6" s="2">
        <f>IF(OR(Table12716[[#This Row],[run 1 times]]="",Table12716[[#This Row],[run2 times]]=""),"",Table12716[[#This Row],[run 1 times]]+Table12716[[#This Row],[run2 times]])</f>
        <v>1.1001157407407407E-3</v>
      </c>
      <c r="Q6" s="3">
        <f>IF(Table12716[[#This Row],[total time]]="",999.99,IF(Table12716[[#This Row],[total time]]=$U$3,0,MAX(0,ROUND(((Table12716[[#This Row],[total time]]-$U$3)/$U$3)*$S$6,2))))</f>
        <v>19.64</v>
      </c>
      <c r="S6">
        <v>730</v>
      </c>
      <c r="T6">
        <v>1010</v>
      </c>
      <c r="U6">
        <v>1190</v>
      </c>
      <c r="W6">
        <v>2</v>
      </c>
      <c r="X6">
        <v>165</v>
      </c>
      <c r="Y6" t="s">
        <v>24</v>
      </c>
      <c r="Z6" t="s">
        <v>552</v>
      </c>
      <c r="AA6" t="s">
        <v>755</v>
      </c>
      <c r="AB6">
        <v>2009</v>
      </c>
      <c r="AC6" s="1">
        <v>51.84</v>
      </c>
      <c r="AD6" s="1">
        <v>48.45</v>
      </c>
      <c r="AE6" s="1">
        <v>1.1607638888888887E-3</v>
      </c>
      <c r="AG6">
        <v>93748</v>
      </c>
      <c r="AH6" s="2">
        <f>_xlfn.LET(_xlpm.x,Table12211019[[#This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6.0000000000000006E-4</v>
      </c>
      <c r="AI6" s="3">
        <f>IF(Table12211019[[#This Row],[run 1 times]]="",999.99,IF(Table12211019[[#This Row],[run 1 times]]=$AO$3,0,MAX(0,ROUND(((Table12211019[[#This Row],[run 1 times]]-$AO$3)/$AO$3)*$AO$6,2))))</f>
        <v>67.709999999999994</v>
      </c>
      <c r="AJ6" s="2">
        <f>_xlfn.LET(_xlpm.x,Table12211019[[#This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5.6076388888888897E-4</v>
      </c>
      <c r="AK6" s="3">
        <f>IF(Table12211019[[#This Row],[run2 times]]="",999.99,IF(Table12211019[[#This Row],[run2 times]]=$AP$3,0,MAX(0,ROUND(((Table12211019[[#This Row],[run2 times]]-$AP$3)/$AP$3)*$AO$6,2))))</f>
        <v>137.30000000000001</v>
      </c>
      <c r="AL6" s="2">
        <f>IF(OR(Table12211019[[#This Row],[run 1 times]]="",Table12211019[[#This Row],[run2 times]]=""),"",Table12211019[[#This Row],[run 1 times]]+Table12211019[[#This Row],[run2 times]])</f>
        <v>1.1607638888888891E-3</v>
      </c>
      <c r="AM6" s="3">
        <f>IF(Table12211019[[#This Row],[total time]]="",999.99,IF(Table12211019[[#This Row],[total time]]=$AQ$3,0,MAX(0,ROUND(((Table12211019[[#This Row],[total time]]-$AQ$3)/$AQ$3)*$AO$6,2))))</f>
        <v>87.73</v>
      </c>
      <c r="AO6">
        <v>730</v>
      </c>
      <c r="AP6">
        <v>1010</v>
      </c>
      <c r="AQ6">
        <v>1190</v>
      </c>
    </row>
    <row r="7" spans="1:43" x14ac:dyDescent="0.3">
      <c r="A7">
        <v>9</v>
      </c>
      <c r="B7">
        <v>32</v>
      </c>
      <c r="C7" t="s">
        <v>479</v>
      </c>
      <c r="D7" t="s">
        <v>522</v>
      </c>
      <c r="E7" t="s">
        <v>670</v>
      </c>
      <c r="F7">
        <v>2012</v>
      </c>
      <c r="G7" s="1" t="s">
        <v>512</v>
      </c>
      <c r="H7" s="1">
        <v>49.77</v>
      </c>
      <c r="I7" s="1"/>
      <c r="K7">
        <v>101431</v>
      </c>
      <c r="L7" s="2" t="str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7" s="3">
        <f>IF(Table12716[[#This Row],[run 1 times]]="",999.99,IF(Table12716[[#This Row],[run 1 times]]=$S$3,0,MAX(0,ROUND(((Table12716[[#This Row],[run 1 times]]-$S$3)/$S$3)*$S$6,2))))</f>
        <v>999.99</v>
      </c>
      <c r="N7" s="2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5.7604166666666665E-4</v>
      </c>
      <c r="O7" s="3">
        <f>IF(Table12716[[#This Row],[run2 times]]="",999.99,IF(Table12716[[#This Row],[run2 times]]=$T$3,0,MAX(0,ROUND(((Table12716[[#This Row],[run2 times]]-$T$3)/$T$3)*$S$6,2))))</f>
        <v>69.39</v>
      </c>
      <c r="P7" s="2" t="str">
        <f>IF(OR(Table12716[[#This Row],[run 1 times]]="",Table12716[[#This Row],[run2 times]]=""),"",Table12716[[#This Row],[run 1 times]]+Table12716[[#This Row],[run2 times]])</f>
        <v/>
      </c>
      <c r="Q7" s="3">
        <f>IF(Table12716[[#This Row],[total time]]="",999.99,IF(Table12716[[#This Row],[total time]]=$U$3,0,MAX(0,ROUND(((Table12716[[#This Row],[total time]]-$U$3)/$U$3)*$S$6,2))))</f>
        <v>999.99</v>
      </c>
      <c r="W7">
        <v>24</v>
      </c>
      <c r="X7">
        <v>159</v>
      </c>
      <c r="Y7" t="s">
        <v>24</v>
      </c>
      <c r="Z7" t="s">
        <v>552</v>
      </c>
      <c r="AA7" t="s">
        <v>749</v>
      </c>
      <c r="AB7">
        <v>2009</v>
      </c>
      <c r="AC7" s="1">
        <v>54.11</v>
      </c>
      <c r="AD7" s="1">
        <v>48.71</v>
      </c>
      <c r="AE7" s="1">
        <v>1.1900462962962963E-3</v>
      </c>
      <c r="AG7">
        <v>104657</v>
      </c>
      <c r="AH7" s="2">
        <f>_xlfn.LET(_xlpm.x,Table12211019[[#This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6.2627314814814815E-4</v>
      </c>
      <c r="AI7" s="3">
        <f>IF(Table12211019[[#This Row],[run 1 times]]="",999.99,IF(Table12211019[[#This Row],[run 1 times]]=$AO$3,0,MAX(0,ROUND(((Table12211019[[#This Row],[run 1 times]]-$AO$3)/$AO$3)*$AO$6,2))))</f>
        <v>102.64</v>
      </c>
      <c r="AJ7" s="2">
        <f>_xlfn.LET(_xlpm.x,Table12211019[[#This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5.6377314814814821E-4</v>
      </c>
      <c r="AK7" s="3">
        <f>IF(Table12211019[[#This Row],[run2 times]]="",999.99,IF(Table12211019[[#This Row],[run2 times]]=$AP$3,0,MAX(0,ROUND(((Table12211019[[#This Row],[run2 times]]-$AP$3)/$AP$3)*$AO$6,2))))</f>
        <v>141.94999999999999</v>
      </c>
      <c r="AL7" s="2">
        <f>IF(OR(Table12211019[[#This Row],[run 1 times]]="",Table12211019[[#This Row],[run2 times]]=""),"",Table12211019[[#This Row],[run 1 times]]+Table12211019[[#This Row],[run2 times]])</f>
        <v>1.1900462962962963E-3</v>
      </c>
      <c r="AM7" s="3">
        <f>IF(Table12211019[[#This Row],[total time]]="",999.99,IF(Table12211019[[#This Row],[total time]]=$AQ$3,0,MAX(0,ROUND(((Table12211019[[#This Row],[total time]]-$AQ$3)/$AQ$3)*$AO$6,2))))</f>
        <v>108.36</v>
      </c>
    </row>
    <row r="8" spans="1:43" x14ac:dyDescent="0.3">
      <c r="A8">
        <v>13</v>
      </c>
      <c r="B8">
        <v>36</v>
      </c>
      <c r="C8" t="s">
        <v>479</v>
      </c>
      <c r="D8" t="s">
        <v>522</v>
      </c>
      <c r="E8" t="s">
        <v>673</v>
      </c>
      <c r="F8">
        <v>2012</v>
      </c>
      <c r="G8" s="1" t="s">
        <v>512</v>
      </c>
      <c r="H8" s="1">
        <v>50.5</v>
      </c>
      <c r="I8" s="1"/>
      <c r="K8">
        <v>108263</v>
      </c>
      <c r="L8" s="2" t="str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8" s="3">
        <f>IF(Table12716[[#This Row],[run 1 times]]="",999.99,IF(Table12716[[#This Row],[run 1 times]]=$S$3,0,MAX(0,ROUND(((Table12716[[#This Row],[run 1 times]]-$S$3)/$S$3)*$S$6,2))))</f>
        <v>999.99</v>
      </c>
      <c r="N8" s="2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5.8449074074074078E-4</v>
      </c>
      <c r="O8" s="3">
        <f>IF(Table12716[[#This Row],[run2 times]]="",999.99,IF(Table12716[[#This Row],[run2 times]]=$T$3,0,MAX(0,ROUND(((Table12716[[#This Row],[run2 times]]-$T$3)/$T$3)*$S$6,2))))</f>
        <v>81.11</v>
      </c>
      <c r="P8" s="2" t="str">
        <f>IF(OR(Table12716[[#This Row],[run 1 times]]="",Table12716[[#This Row],[run2 times]]=""),"",Table12716[[#This Row],[run 1 times]]+Table12716[[#This Row],[run2 times]])</f>
        <v/>
      </c>
      <c r="Q8" s="3">
        <f>IF(Table12716[[#This Row],[total time]]="",999.99,IF(Table12716[[#This Row],[total time]]=$U$3,0,MAX(0,ROUND(((Table12716[[#This Row],[total time]]-$U$3)/$U$3)*$S$6,2))))</f>
        <v>999.99</v>
      </c>
      <c r="W8">
        <v>23</v>
      </c>
      <c r="X8">
        <v>158</v>
      </c>
      <c r="Y8" t="s">
        <v>373</v>
      </c>
      <c r="Z8" t="s">
        <v>552</v>
      </c>
      <c r="AA8" t="s">
        <v>748</v>
      </c>
      <c r="AB8">
        <v>2008</v>
      </c>
      <c r="AC8" s="1">
        <v>7.1423611111111113E-4</v>
      </c>
      <c r="AD8" s="1">
        <v>55.5</v>
      </c>
      <c r="AE8" s="1">
        <v>1.3565972222222224E-3</v>
      </c>
      <c r="AG8">
        <v>127962</v>
      </c>
      <c r="AH8" s="2">
        <f>_xlfn.LET(_xlpm.x,Table12211019[[#This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7.1423611111111113E-4</v>
      </c>
      <c r="AI8" s="3">
        <f>IF(Table12211019[[#This Row],[run 1 times]]="",999.99,IF(Table12211019[[#This Row],[run 1 times]]=$AO$3,0,MAX(0,ROUND(((Table12211019[[#This Row],[run 1 times]]-$AO$3)/$AO$3)*$AO$6,2))))</f>
        <v>219.58</v>
      </c>
      <c r="AJ8" s="2">
        <f>_xlfn.LET(_xlpm.x,Table12211019[[#This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6.4236111111111113E-4</v>
      </c>
      <c r="AK8" s="3">
        <f>IF(Table12211019[[#This Row],[run2 times]]="",999.99,IF(Table12211019[[#This Row],[run2 times]]=$AP$3,0,MAX(0,ROUND(((Table12211019[[#This Row],[run2 times]]-$AP$3)/$AP$3)*$AO$6,2))))</f>
        <v>263.5</v>
      </c>
      <c r="AL8" s="2">
        <f>IF(OR(Table12211019[[#This Row],[run 1 times]]="",Table12211019[[#This Row],[run2 times]]=""),"",Table12211019[[#This Row],[run 1 times]]+Table12211019[[#This Row],[run2 times]])</f>
        <v>1.3565972222222221E-3</v>
      </c>
      <c r="AM8" s="3">
        <f>IF(Table12211019[[#This Row],[total time]]="",999.99,IF(Table12211019[[#This Row],[total time]]=$AQ$3,0,MAX(0,ROUND(((Table12211019[[#This Row],[total time]]-$AQ$3)/$AQ$3)*$AO$6,2))))</f>
        <v>225.69</v>
      </c>
    </row>
    <row r="9" spans="1:43" x14ac:dyDescent="0.3">
      <c r="A9">
        <v>1</v>
      </c>
      <c r="B9">
        <v>24</v>
      </c>
      <c r="C9" t="s">
        <v>373</v>
      </c>
      <c r="D9" t="s">
        <v>522</v>
      </c>
      <c r="E9" t="s">
        <v>674</v>
      </c>
      <c r="F9">
        <v>2012</v>
      </c>
      <c r="G9" s="1">
        <v>53.57</v>
      </c>
      <c r="H9" s="1">
        <v>53.04</v>
      </c>
      <c r="I9" s="1">
        <v>1.2339120370370371E-3</v>
      </c>
      <c r="K9">
        <v>122060</v>
      </c>
      <c r="L9" s="2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6.2002314814814819E-4</v>
      </c>
      <c r="M9" s="3">
        <f>IF(Table12716[[#This Row],[run 1 times]]="",999.99,IF(Table12716[[#This Row],[run 1 times]]=$S$3,0,MAX(0,ROUND(((Table12716[[#This Row],[run 1 times]]-$S$3)/$S$3)*$S$6,2))))</f>
        <v>114.62</v>
      </c>
      <c r="N9" s="2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6.1388888888888886E-4</v>
      </c>
      <c r="O9" s="3">
        <f>IF(Table12716[[#This Row],[run2 times]]="",999.99,IF(Table12716[[#This Row],[run2 times]]=$T$3,0,MAX(0,ROUND(((Table12716[[#This Row],[run2 times]]-$T$3)/$T$3)*$S$6,2))))</f>
        <v>121.91</v>
      </c>
      <c r="P9" s="2">
        <f>IF(OR(Table12716[[#This Row],[run 1 times]]="",Table12716[[#This Row],[run2 times]]=""),"",Table12716[[#This Row],[run 1 times]]+Table12716[[#This Row],[run2 times]])</f>
        <v>1.2339120370370371E-3</v>
      </c>
      <c r="Q9" s="3">
        <f>IF(Table12716[[#This Row],[total time]]="",999.99,IF(Table12716[[#This Row],[total time]]=$U$3,0,MAX(0,ROUND(((Table12716[[#This Row],[total time]]-$U$3)/$U$3)*$S$6,2))))</f>
        <v>110.81</v>
      </c>
      <c r="W9">
        <v>8</v>
      </c>
      <c r="X9">
        <v>171</v>
      </c>
      <c r="Y9" t="s">
        <v>24</v>
      </c>
      <c r="Z9" t="s">
        <v>552</v>
      </c>
      <c r="AA9" t="s">
        <v>761</v>
      </c>
      <c r="AB9">
        <v>2009</v>
      </c>
      <c r="AC9" s="1" t="s">
        <v>512</v>
      </c>
      <c r="AD9" s="1">
        <v>40.78</v>
      </c>
      <c r="AE9" s="1"/>
      <c r="AG9">
        <v>84474</v>
      </c>
      <c r="AH9" s="2" t="str">
        <f>_xlfn.LET(_xlpm.x,Table12211019[[#This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9" s="3">
        <f>IF(Table12211019[[#This Row],[run 1 times]]="",999.99,IF(Table12211019[[#This Row],[run 1 times]]=$AO$3,0,MAX(0,ROUND(((Table12211019[[#This Row],[run 1 times]]-$AO$3)/$AO$3)*$AO$6,2))))</f>
        <v>999.99</v>
      </c>
      <c r="AJ9" s="2">
        <f>_xlfn.LET(_xlpm.x,Table12211019[[#This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4.7199074074074076E-4</v>
      </c>
      <c r="AK9" s="3">
        <f>IF(Table12211019[[#This Row],[run2 times]]="",999.99,IF(Table12211019[[#This Row],[run2 times]]=$AP$3,0,MAX(0,ROUND(((Table12211019[[#This Row],[run2 times]]-$AP$3)/$AP$3)*$AO$6,2))))</f>
        <v>0</v>
      </c>
      <c r="AL9" s="2" t="str">
        <f>IF(OR(Table12211019[[#This Row],[run 1 times]]="",Table12211019[[#This Row],[run2 times]]=""),"",Table12211019[[#This Row],[run 1 times]]+Table12211019[[#This Row],[run2 times]])</f>
        <v/>
      </c>
      <c r="AM9" s="3">
        <f>IF(Table12211019[[#This Row],[total time]]="",999.99,IF(Table12211019[[#This Row],[total time]]=$AQ$3,0,MAX(0,ROUND(((Table12211019[[#This Row],[total time]]-$AQ$3)/$AQ$3)*$AO$6,2))))</f>
        <v>999.99</v>
      </c>
    </row>
    <row r="10" spans="1:43" x14ac:dyDescent="0.3">
      <c r="A10">
        <v>41</v>
      </c>
      <c r="B10">
        <v>17</v>
      </c>
      <c r="C10" t="s">
        <v>257</v>
      </c>
      <c r="D10" t="s">
        <v>480</v>
      </c>
      <c r="E10" t="s">
        <v>671</v>
      </c>
      <c r="F10">
        <v>2015</v>
      </c>
      <c r="G10" s="1">
        <v>50.26</v>
      </c>
      <c r="H10" s="1">
        <v>53.91</v>
      </c>
      <c r="I10" s="1">
        <v>1.2056712962962963E-3</v>
      </c>
      <c r="K10">
        <v>119078</v>
      </c>
      <c r="L10" s="2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5.8171296296296291E-4</v>
      </c>
      <c r="M10" s="3">
        <f>IF(Table12716[[#This Row],[run 1 times]]="",999.99,IF(Table12716[[#This Row],[run 1 times]]=$S$3,0,MAX(0,ROUND(((Table12716[[#This Row],[run 1 times]]-$S$3)/$S$3)*$S$6,2))))</f>
        <v>62.44</v>
      </c>
      <c r="N10" s="2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6.2395833333333324E-4</v>
      </c>
      <c r="O10" s="3">
        <f>IF(Table12716[[#This Row],[run2 times]]="",999.99,IF(Table12716[[#This Row],[run2 times]]=$T$3,0,MAX(0,ROUND(((Table12716[[#This Row],[run2 times]]-$T$3)/$T$3)*$S$6,2))))</f>
        <v>135.88</v>
      </c>
      <c r="P10" s="2">
        <f>IF(OR(Table12716[[#This Row],[run 1 times]]="",Table12716[[#This Row],[run2 times]]=""),"",Table12716[[#This Row],[run 1 times]]+Table12716[[#This Row],[run2 times]])</f>
        <v>1.2056712962962963E-3</v>
      </c>
      <c r="Q10" s="3">
        <f>IF(Table12716[[#This Row],[total time]]="",999.99,IF(Table12716[[#This Row],[total time]]=$U$3,0,MAX(0,ROUND(((Table12716[[#This Row],[total time]]-$U$3)/$U$3)*$S$6,2))))</f>
        <v>91.57</v>
      </c>
      <c r="W10">
        <v>10</v>
      </c>
      <c r="X10">
        <v>173</v>
      </c>
      <c r="Y10" t="s">
        <v>257</v>
      </c>
      <c r="Z10" t="s">
        <v>552</v>
      </c>
      <c r="AA10" t="s">
        <v>763</v>
      </c>
      <c r="AB10">
        <v>2008</v>
      </c>
      <c r="AC10" s="1" t="s">
        <v>512</v>
      </c>
      <c r="AD10" s="1">
        <v>42.35</v>
      </c>
      <c r="AE10" s="1"/>
      <c r="AG10">
        <v>87497</v>
      </c>
      <c r="AH10" s="2" t="str">
        <f>_xlfn.LET(_xlpm.x,Table12211019[[#This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10" s="3">
        <f>IF(Table12211019[[#This Row],[run 1 times]]="",999.99,IF(Table12211019[[#This Row],[run 1 times]]=$AO$3,0,MAX(0,ROUND(((Table12211019[[#This Row],[run 1 times]]-$AO$3)/$AO$3)*$AO$6,2))))</f>
        <v>999.99</v>
      </c>
      <c r="AJ10" s="2">
        <f>_xlfn.LET(_xlpm.x,Table12211019[[#This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4.9016203703703711E-4</v>
      </c>
      <c r="AK10" s="3">
        <f>IF(Table12211019[[#This Row],[run2 times]]="",999.99,IF(Table12211019[[#This Row],[run2 times]]=$AP$3,0,MAX(0,ROUND(((Table12211019[[#This Row],[run2 times]]-$AP$3)/$AP$3)*$AO$6,2))))</f>
        <v>28.1</v>
      </c>
      <c r="AL10" s="2" t="str">
        <f>IF(OR(Table12211019[[#This Row],[run 1 times]]="",Table12211019[[#This Row],[run2 times]]=""),"",Table12211019[[#This Row],[run 1 times]]+Table12211019[[#This Row],[run2 times]])</f>
        <v/>
      </c>
      <c r="AM10" s="3">
        <f>IF(Table12211019[[#This Row],[total time]]="",999.99,IF(Table12211019[[#This Row],[total time]]=$AQ$3,0,MAX(0,ROUND(((Table12211019[[#This Row],[total time]]-$AQ$3)/$AQ$3)*$AO$6,2))))</f>
        <v>999.99</v>
      </c>
    </row>
    <row r="11" spans="1:43" x14ac:dyDescent="0.3">
      <c r="A11">
        <v>3</v>
      </c>
      <c r="B11">
        <v>26</v>
      </c>
      <c r="C11" t="s">
        <v>257</v>
      </c>
      <c r="D11" t="s">
        <v>522</v>
      </c>
      <c r="E11" t="s">
        <v>698</v>
      </c>
      <c r="F11">
        <v>2012</v>
      </c>
      <c r="G11" s="1">
        <v>58.96</v>
      </c>
      <c r="H11" s="1">
        <v>54.18</v>
      </c>
      <c r="I11" s="1">
        <v>1.3094907407407408E-3</v>
      </c>
      <c r="K11">
        <v>102726</v>
      </c>
      <c r="L11" s="2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6.824074074074074E-4</v>
      </c>
      <c r="M11" s="3">
        <f>IF(Table12716[[#This Row],[run 1 times]]="",999.99,IF(Table12716[[#This Row],[run 1 times]]=$S$3,0,MAX(0,ROUND(((Table12716[[#This Row],[run 1 times]]-$S$3)/$S$3)*$S$6,2))))</f>
        <v>199.61</v>
      </c>
      <c r="N11" s="2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6.2708333333333333E-4</v>
      </c>
      <c r="O11" s="3">
        <f>IF(Table12716[[#This Row],[run2 times]]="",999.99,IF(Table12716[[#This Row],[run2 times]]=$T$3,0,MAX(0,ROUND(((Table12716[[#This Row],[run2 times]]-$T$3)/$T$3)*$S$6,2))))</f>
        <v>140.22</v>
      </c>
      <c r="P11" s="2">
        <f>IF(OR(Table12716[[#This Row],[run 1 times]]="",Table12716[[#This Row],[run2 times]]=""),"",Table12716[[#This Row],[run 1 times]]+Table12716[[#This Row],[run2 times]])</f>
        <v>1.3094907407407408E-3</v>
      </c>
      <c r="Q11" s="3">
        <f>IF(Table12716[[#This Row],[total time]]="",999.99,IF(Table12716[[#This Row],[total time]]=$U$3,0,MAX(0,ROUND(((Table12716[[#This Row],[total time]]-$U$3)/$U$3)*$S$6,2))))</f>
        <v>162.31</v>
      </c>
      <c r="W11">
        <v>27</v>
      </c>
      <c r="X11">
        <v>162</v>
      </c>
      <c r="Y11" t="s">
        <v>479</v>
      </c>
      <c r="Z11" t="s">
        <v>552</v>
      </c>
      <c r="AA11" t="s">
        <v>752</v>
      </c>
      <c r="AB11">
        <v>2009</v>
      </c>
      <c r="AC11" s="1" t="s">
        <v>512</v>
      </c>
      <c r="AD11" s="1">
        <v>51.73</v>
      </c>
      <c r="AE11" s="1"/>
      <c r="AG11">
        <v>110039</v>
      </c>
      <c r="AH11" s="2" t="str">
        <f>_xlfn.LET(_xlpm.x,Table12211019[[#This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11" s="3">
        <f>IF(Table12211019[[#This Row],[run 1 times]]="",999.99,IF(Table12211019[[#This Row],[run 1 times]]=$AO$3,0,MAX(0,ROUND(((Table12211019[[#This Row],[run 1 times]]-$AO$3)/$AO$3)*$AO$6,2))))</f>
        <v>999.99</v>
      </c>
      <c r="AJ11" s="2">
        <f>_xlfn.LET(_xlpm.x,Table12211019[[#This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5.9872685185185181E-4</v>
      </c>
      <c r="AK11" s="3">
        <f>IF(Table12211019[[#This Row],[run2 times]]="",999.99,IF(Table12211019[[#This Row],[run2 times]]=$AP$3,0,MAX(0,ROUND(((Table12211019[[#This Row],[run2 times]]-$AP$3)/$AP$3)*$AO$6,2))))</f>
        <v>196.02</v>
      </c>
      <c r="AL11" s="2" t="str">
        <f>IF(OR(Table12211019[[#This Row],[run 1 times]]="",Table12211019[[#This Row],[run2 times]]=""),"",Table12211019[[#This Row],[run 1 times]]+Table12211019[[#This Row],[run2 times]])</f>
        <v/>
      </c>
      <c r="AM11" s="3">
        <f>IF(Table12211019[[#This Row],[total time]]="",999.99,IF(Table12211019[[#This Row],[total time]]=$AQ$3,0,MAX(0,ROUND(((Table12211019[[#This Row],[total time]]-$AQ$3)/$AQ$3)*$AO$6,2))))</f>
        <v>999.99</v>
      </c>
    </row>
    <row r="12" spans="1:43" x14ac:dyDescent="0.3">
      <c r="A12">
        <v>46</v>
      </c>
      <c r="B12">
        <v>22</v>
      </c>
      <c r="C12" t="s">
        <v>479</v>
      </c>
      <c r="D12" t="s">
        <v>522</v>
      </c>
      <c r="E12" t="s">
        <v>700</v>
      </c>
      <c r="F12">
        <v>2013</v>
      </c>
      <c r="G12" s="1">
        <v>54.13</v>
      </c>
      <c r="H12" s="1">
        <v>54.22</v>
      </c>
      <c r="I12" s="1">
        <v>1.2540509259259258E-3</v>
      </c>
      <c r="K12">
        <v>101432</v>
      </c>
      <c r="L12" s="2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6.2650462962962963E-4</v>
      </c>
      <c r="M12" s="3">
        <f>IF(Table12716[[#This Row],[run 1 times]]="",999.99,IF(Table12716[[#This Row],[run 1 times]]=$S$3,0,MAX(0,ROUND(((Table12716[[#This Row],[run 1 times]]-$S$3)/$S$3)*$S$6,2))))</f>
        <v>123.45</v>
      </c>
      <c r="N12" s="2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6.2754629629629629E-4</v>
      </c>
      <c r="O12" s="3">
        <f>IF(Table12716[[#This Row],[run2 times]]="",999.99,IF(Table12716[[#This Row],[run2 times]]=$T$3,0,MAX(0,ROUND(((Table12716[[#This Row],[run2 times]]-$T$3)/$T$3)*$S$6,2))))</f>
        <v>140.86000000000001</v>
      </c>
      <c r="P12" s="2">
        <f>IF(OR(Table12716[[#This Row],[run 1 times]]="",Table12716[[#This Row],[run2 times]]=""),"",Table12716[[#This Row],[run 1 times]]+Table12716[[#This Row],[run2 times]])</f>
        <v>1.2540509259259258E-3</v>
      </c>
      <c r="Q12" s="3">
        <f>IF(Table12716[[#This Row],[total time]]="",999.99,IF(Table12716[[#This Row],[total time]]=$U$3,0,MAX(0,ROUND(((Table12716[[#This Row],[total time]]-$U$3)/$U$3)*$S$6,2))))</f>
        <v>124.53</v>
      </c>
      <c r="W12">
        <v>4</v>
      </c>
      <c r="X12">
        <v>167</v>
      </c>
      <c r="Y12" t="s">
        <v>223</v>
      </c>
      <c r="Z12" t="s">
        <v>552</v>
      </c>
      <c r="AA12" t="s">
        <v>757</v>
      </c>
      <c r="AB12">
        <v>2007</v>
      </c>
      <c r="AC12" s="1" t="s">
        <v>512</v>
      </c>
      <c r="AD12" s="1" t="s">
        <v>518</v>
      </c>
      <c r="AE12" s="1"/>
      <c r="AG12">
        <v>126692</v>
      </c>
      <c r="AH12" s="2" t="str">
        <f>_xlfn.LET(_xlpm.x,Table12211019[[#This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12" s="3">
        <f>IF(Table12211019[[#This Row],[run 1 times]]="",999.99,IF(Table12211019[[#This Row],[run 1 times]]=$AO$3,0,MAX(0,ROUND(((Table12211019[[#This Row],[run 1 times]]-$AO$3)/$AO$3)*$AO$6,2))))</f>
        <v>999.99</v>
      </c>
      <c r="AJ12" s="2" t="str">
        <f>_xlfn.LET(_xlpm.x,Table12211019[[#This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12" s="3">
        <f>IF(Table12211019[[#This Row],[run2 times]]="",999.99,IF(Table12211019[[#This Row],[run2 times]]=$AP$3,0,MAX(0,ROUND(((Table12211019[[#This Row],[run2 times]]-$AP$3)/$AP$3)*$AO$6,2))))</f>
        <v>999.99</v>
      </c>
      <c r="AL12" s="2" t="str">
        <f>IF(OR(Table12211019[[#This Row],[run 1 times]]="",Table12211019[[#This Row],[run2 times]]=""),"",Table12211019[[#This Row],[run 1 times]]+Table12211019[[#This Row],[run2 times]])</f>
        <v/>
      </c>
      <c r="AM12" s="3">
        <f>IF(Table12211019[[#This Row],[total time]]="",999.99,IF(Table12211019[[#This Row],[total time]]=$AQ$3,0,MAX(0,ROUND(((Table12211019[[#This Row],[total time]]-$AQ$3)/$AQ$3)*$AO$6,2))))</f>
        <v>999.99</v>
      </c>
    </row>
    <row r="13" spans="1:43" x14ac:dyDescent="0.3">
      <c r="A13">
        <v>45</v>
      </c>
      <c r="B13">
        <v>21</v>
      </c>
      <c r="C13" t="s">
        <v>257</v>
      </c>
      <c r="D13" t="s">
        <v>522</v>
      </c>
      <c r="E13" t="s">
        <v>712</v>
      </c>
      <c r="F13">
        <v>2012</v>
      </c>
      <c r="G13" s="1">
        <v>54.4</v>
      </c>
      <c r="H13" s="1">
        <v>54.57</v>
      </c>
      <c r="I13" s="1">
        <v>1.2612268518518519E-3</v>
      </c>
      <c r="K13">
        <v>117686</v>
      </c>
      <c r="L13" s="2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6.2962962962962961E-4</v>
      </c>
      <c r="M13" s="3">
        <f>IF(Table12716[[#This Row],[run 1 times]]="",999.99,IF(Table12716[[#This Row],[run 1 times]]=$S$3,0,MAX(0,ROUND(((Table12716[[#This Row],[run 1 times]]-$S$3)/$S$3)*$S$6,2))))</f>
        <v>127.71</v>
      </c>
      <c r="N13" s="2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6.315972222222222E-4</v>
      </c>
      <c r="O13" s="3">
        <f>IF(Table12716[[#This Row],[run2 times]]="",999.99,IF(Table12716[[#This Row],[run2 times]]=$T$3,0,MAX(0,ROUND(((Table12716[[#This Row],[run2 times]]-$T$3)/$T$3)*$S$6,2))))</f>
        <v>146.47999999999999</v>
      </c>
      <c r="P13" s="2">
        <f>IF(OR(Table12716[[#This Row],[run 1 times]]="",Table12716[[#This Row],[run2 times]]=""),"",Table12716[[#This Row],[run 1 times]]+Table12716[[#This Row],[run2 times]])</f>
        <v>1.2612268518518519E-3</v>
      </c>
      <c r="Q13" s="3">
        <f>IF(Table12716[[#This Row],[total time]]="",999.99,IF(Table12716[[#This Row],[total time]]=$U$3,0,MAX(0,ROUND(((Table12716[[#This Row],[total time]]-$U$3)/$U$3)*$S$6,2))))</f>
        <v>129.41999999999999</v>
      </c>
      <c r="W13">
        <v>20</v>
      </c>
      <c r="X13">
        <v>155</v>
      </c>
      <c r="Y13" t="s">
        <v>223</v>
      </c>
      <c r="Z13" t="s">
        <v>547</v>
      </c>
      <c r="AA13" t="s">
        <v>745</v>
      </c>
      <c r="AB13">
        <v>2011</v>
      </c>
      <c r="AC13" s="1">
        <v>51.17</v>
      </c>
      <c r="AD13" s="1">
        <v>47.21</v>
      </c>
      <c r="AE13" s="1">
        <v>1.1386574074074075E-3</v>
      </c>
      <c r="AG13">
        <v>102458</v>
      </c>
      <c r="AH13" s="2">
        <f>_xlfn.LET(_xlpm.x,Table12211019[[#This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5.9224537037037036E-4</v>
      </c>
      <c r="AI13" s="3">
        <f>IF(Table12211019[[#This Row],[run 1 times]]="",999.99,IF(Table12211019[[#This Row],[run 1 times]]=$AO$3,0,MAX(0,ROUND(((Table12211019[[#This Row],[run 1 times]]-$AO$3)/$AO$3)*$AO$6,2))))</f>
        <v>57.4</v>
      </c>
      <c r="AJ13" s="2">
        <f>_xlfn.LET(_xlpm.x,Table12211019[[#This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5.4641203703703709E-4</v>
      </c>
      <c r="AK13" s="3">
        <f>IF(Table12211019[[#This Row],[run2 times]]="",999.99,IF(Table12211019[[#This Row],[run2 times]]=$AP$3,0,MAX(0,ROUND(((Table12211019[[#This Row],[run2 times]]-$AP$3)/$AP$3)*$AO$6,2))))</f>
        <v>115.1</v>
      </c>
      <c r="AL13" s="2">
        <f>IF(OR(Table12211019[[#This Row],[run 1 times]]="",Table12211019[[#This Row],[run2 times]]=""),"",Table12211019[[#This Row],[run 1 times]]+Table12211019[[#This Row],[run2 times]])</f>
        <v>1.1386574074074075E-3</v>
      </c>
      <c r="AM13" s="3">
        <f>IF(Table12211019[[#This Row],[total time]]="",999.99,IF(Table12211019[[#This Row],[total time]]=$AQ$3,0,MAX(0,ROUND(((Table12211019[[#This Row],[total time]]-$AQ$3)/$AQ$3)*$AO$6,2))))</f>
        <v>72.16</v>
      </c>
    </row>
    <row r="14" spans="1:43" x14ac:dyDescent="0.3">
      <c r="A14">
        <v>12</v>
      </c>
      <c r="B14">
        <v>35</v>
      </c>
      <c r="C14" t="s">
        <v>373</v>
      </c>
      <c r="D14" t="s">
        <v>480</v>
      </c>
      <c r="E14" t="s">
        <v>696</v>
      </c>
      <c r="F14">
        <v>2014</v>
      </c>
      <c r="G14" s="1">
        <v>57.14</v>
      </c>
      <c r="H14" s="1">
        <v>54.89</v>
      </c>
      <c r="I14" s="1">
        <v>1.2966435185185186E-3</v>
      </c>
      <c r="K14">
        <v>107242</v>
      </c>
      <c r="L14" s="2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6.613425925925926E-4</v>
      </c>
      <c r="M14" s="3">
        <f>IF(Table12716[[#This Row],[run 1 times]]="",999.99,IF(Table12716[[#This Row],[run 1 times]]=$S$3,0,MAX(0,ROUND(((Table12716[[#This Row],[run 1 times]]-$S$3)/$S$3)*$S$6,2))))</f>
        <v>170.91</v>
      </c>
      <c r="N14" s="2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6.3530092592592599E-4</v>
      </c>
      <c r="O14" s="3">
        <f>IF(Table12716[[#This Row],[run2 times]]="",999.99,IF(Table12716[[#This Row],[run2 times]]=$T$3,0,MAX(0,ROUND(((Table12716[[#This Row],[run2 times]]-$T$3)/$T$3)*$S$6,2))))</f>
        <v>151.62</v>
      </c>
      <c r="P14" s="2">
        <f>IF(OR(Table12716[[#This Row],[run 1 times]]="",Table12716[[#This Row],[run2 times]]=""),"",Table12716[[#This Row],[run 1 times]]+Table12716[[#This Row],[run2 times]])</f>
        <v>1.2966435185185186E-3</v>
      </c>
      <c r="Q14" s="3">
        <f>IF(Table12716[[#This Row],[total time]]="",999.99,IF(Table12716[[#This Row],[total time]]=$U$3,0,MAX(0,ROUND(((Table12716[[#This Row],[total time]]-$U$3)/$U$3)*$S$6,2))))</f>
        <v>153.56</v>
      </c>
      <c r="W14">
        <v>5</v>
      </c>
      <c r="X14">
        <v>168</v>
      </c>
      <c r="Y14" t="s">
        <v>373</v>
      </c>
      <c r="Z14" t="s">
        <v>547</v>
      </c>
      <c r="AA14" t="s">
        <v>758</v>
      </c>
      <c r="AB14">
        <v>2011</v>
      </c>
      <c r="AC14" s="1">
        <v>53.23</v>
      </c>
      <c r="AD14" s="1">
        <v>48.65</v>
      </c>
      <c r="AE14" s="1">
        <v>1.1791666666666667E-3</v>
      </c>
      <c r="AG14">
        <v>94814</v>
      </c>
      <c r="AH14" s="2">
        <f>_xlfn.LET(_xlpm.x,Table12211019[[#This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6.1608796296296292E-4</v>
      </c>
      <c r="AI14" s="3">
        <f>IF(Table12211019[[#This Row],[run 1 times]]="",999.99,IF(Table12211019[[#This Row],[run 1 times]]=$AO$3,0,MAX(0,ROUND(((Table12211019[[#This Row],[run 1 times]]-$AO$3)/$AO$3)*$AO$6,2))))</f>
        <v>89.1</v>
      </c>
      <c r="AJ14" s="2">
        <f>_xlfn.LET(_xlpm.x,Table12211019[[#This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5.6307870370370366E-4</v>
      </c>
      <c r="AK14" s="3">
        <f>IF(Table12211019[[#This Row],[run2 times]]="",999.99,IF(Table12211019[[#This Row],[run2 times]]=$AP$3,0,MAX(0,ROUND(((Table12211019[[#This Row],[run2 times]]-$AP$3)/$AP$3)*$AO$6,2))))</f>
        <v>140.88</v>
      </c>
      <c r="AL14" s="2">
        <f>IF(OR(Table12211019[[#This Row],[run 1 times]]="",Table12211019[[#This Row],[run2 times]]=""),"",Table12211019[[#This Row],[run 1 times]]+Table12211019[[#This Row],[run2 times]])</f>
        <v>1.1791666666666665E-3</v>
      </c>
      <c r="AM14" s="3">
        <f>IF(Table12211019[[#This Row],[total time]]="",999.99,IF(Table12211019[[#This Row],[total time]]=$AQ$3,0,MAX(0,ROUND(((Table12211019[[#This Row],[total time]]-$AQ$3)/$AQ$3)*$AO$6,2))))</f>
        <v>100.7</v>
      </c>
    </row>
    <row r="15" spans="1:43" x14ac:dyDescent="0.3">
      <c r="A15">
        <v>33</v>
      </c>
      <c r="B15">
        <v>9</v>
      </c>
      <c r="C15" t="s">
        <v>223</v>
      </c>
      <c r="D15" t="s">
        <v>480</v>
      </c>
      <c r="E15" t="s">
        <v>707</v>
      </c>
      <c r="F15">
        <v>2014</v>
      </c>
      <c r="G15" s="1">
        <v>56.15</v>
      </c>
      <c r="H15" s="1">
        <v>55.52</v>
      </c>
      <c r="I15" s="1">
        <v>1.2924768518518519E-3</v>
      </c>
      <c r="K15">
        <v>115872</v>
      </c>
      <c r="L15" s="2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6.4988425925925923E-4</v>
      </c>
      <c r="M15" s="3">
        <f>IF(Table12716[[#This Row],[run 1 times]]="",999.99,IF(Table12716[[#This Row],[run 1 times]]=$S$3,0,MAX(0,ROUND(((Table12716[[#This Row],[run 1 times]]-$S$3)/$S$3)*$S$6,2))))</f>
        <v>155.30000000000001</v>
      </c>
      <c r="N15" s="2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6.4259259259259261E-4</v>
      </c>
      <c r="O15" s="3">
        <f>IF(Table12716[[#This Row],[run2 times]]="",999.99,IF(Table12716[[#This Row],[run2 times]]=$T$3,0,MAX(0,ROUND(((Table12716[[#This Row],[run2 times]]-$T$3)/$T$3)*$S$6,2))))</f>
        <v>161.74</v>
      </c>
      <c r="P15" s="2">
        <f>IF(OR(Table12716[[#This Row],[run 1 times]]="",Table12716[[#This Row],[run2 times]]=""),"",Table12716[[#This Row],[run 1 times]]+Table12716[[#This Row],[run2 times]])</f>
        <v>1.2924768518518519E-3</v>
      </c>
      <c r="Q15" s="3">
        <f>IF(Table12716[[#This Row],[total time]]="",999.99,IF(Table12716[[#This Row],[total time]]=$U$3,0,MAX(0,ROUND(((Table12716[[#This Row],[total time]]-$U$3)/$U$3)*$S$6,2))))</f>
        <v>150.72</v>
      </c>
      <c r="W15">
        <v>21</v>
      </c>
      <c r="X15">
        <v>156</v>
      </c>
      <c r="Y15" t="s">
        <v>223</v>
      </c>
      <c r="Z15" t="s">
        <v>547</v>
      </c>
      <c r="AA15" t="s">
        <v>746</v>
      </c>
      <c r="AB15">
        <v>2011</v>
      </c>
      <c r="AC15" s="1">
        <v>53.66</v>
      </c>
      <c r="AD15" s="1">
        <v>49.13</v>
      </c>
      <c r="AE15" s="1">
        <v>1.1896990740740739E-3</v>
      </c>
      <c r="AG15">
        <v>93462</v>
      </c>
      <c r="AH15" s="2">
        <f>_xlfn.LET(_xlpm.x,Table12211019[[#This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6.2106481481481474E-4</v>
      </c>
      <c r="AI15" s="3">
        <f>IF(Table12211019[[#This Row],[run 1 times]]="",999.99,IF(Table12211019[[#This Row],[run 1 times]]=$AO$3,0,MAX(0,ROUND(((Table12211019[[#This Row],[run 1 times]]-$AO$3)/$AO$3)*$AO$6,2))))</f>
        <v>95.71</v>
      </c>
      <c r="AJ15" s="2">
        <f>_xlfn.LET(_xlpm.x,Table12211019[[#This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5.6863425925925929E-4</v>
      </c>
      <c r="AK15" s="3">
        <f>IF(Table12211019[[#This Row],[run2 times]]="",999.99,IF(Table12211019[[#This Row],[run2 times]]=$AP$3,0,MAX(0,ROUND(((Table12211019[[#This Row],[run2 times]]-$AP$3)/$AP$3)*$AO$6,2))))</f>
        <v>149.47</v>
      </c>
      <c r="AL15" s="2">
        <f>IF(OR(Table12211019[[#This Row],[run 1 times]]="",Table12211019[[#This Row],[run2 times]]=""),"",Table12211019[[#This Row],[run 1 times]]+Table12211019[[#This Row],[run2 times]])</f>
        <v>1.1896990740740739E-3</v>
      </c>
      <c r="AM15" s="3">
        <f>IF(Table12211019[[#This Row],[total time]]="",999.99,IF(Table12211019[[#This Row],[total time]]=$AQ$3,0,MAX(0,ROUND(((Table12211019[[#This Row],[total time]]-$AQ$3)/$AQ$3)*$AO$6,2))))</f>
        <v>108.12</v>
      </c>
    </row>
    <row r="16" spans="1:43" x14ac:dyDescent="0.3">
      <c r="A16">
        <v>39</v>
      </c>
      <c r="B16">
        <v>15</v>
      </c>
      <c r="C16" t="s">
        <v>257</v>
      </c>
      <c r="D16" t="s">
        <v>522</v>
      </c>
      <c r="E16" t="s">
        <v>675</v>
      </c>
      <c r="F16">
        <v>2013</v>
      </c>
      <c r="G16" s="1">
        <v>52.55</v>
      </c>
      <c r="H16" s="1">
        <v>55.64</v>
      </c>
      <c r="I16" s="1">
        <v>1.252199074074074E-3</v>
      </c>
      <c r="K16">
        <v>117684</v>
      </c>
      <c r="L16" s="2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6.082175925925926E-4</v>
      </c>
      <c r="M16" s="3">
        <f>IF(Table12716[[#This Row],[run 1 times]]="",999.99,IF(Table12716[[#This Row],[run 1 times]]=$S$3,0,MAX(0,ROUND(((Table12716[[#This Row],[run 1 times]]-$S$3)/$S$3)*$S$6,2))))</f>
        <v>98.54</v>
      </c>
      <c r="N16" s="2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6.4398148148148149E-4</v>
      </c>
      <c r="O16" s="3">
        <f>IF(Table12716[[#This Row],[run2 times]]="",999.99,IF(Table12716[[#This Row],[run2 times]]=$T$3,0,MAX(0,ROUND(((Table12716[[#This Row],[run2 times]]-$T$3)/$T$3)*$S$6,2))))</f>
        <v>163.66999999999999</v>
      </c>
      <c r="P16" s="2">
        <f>IF(OR(Table12716[[#This Row],[run 1 times]]="",Table12716[[#This Row],[run2 times]]=""),"",Table12716[[#This Row],[run 1 times]]+Table12716[[#This Row],[run2 times]])</f>
        <v>1.252199074074074E-3</v>
      </c>
      <c r="Q16" s="3">
        <f>IF(Table12716[[#This Row],[total time]]="",999.99,IF(Table12716[[#This Row],[total time]]=$U$3,0,MAX(0,ROUND(((Table12716[[#This Row],[total time]]-$U$3)/$U$3)*$S$6,2))))</f>
        <v>123.27</v>
      </c>
      <c r="W16">
        <v>13</v>
      </c>
      <c r="X16">
        <v>176</v>
      </c>
      <c r="Y16" t="s">
        <v>257</v>
      </c>
      <c r="Z16" t="s">
        <v>547</v>
      </c>
      <c r="AA16" t="s">
        <v>766</v>
      </c>
      <c r="AB16">
        <v>2011</v>
      </c>
      <c r="AC16" s="1">
        <v>54.76</v>
      </c>
      <c r="AD16" s="1">
        <v>49.32</v>
      </c>
      <c r="AE16" s="1">
        <v>1.2046296296296297E-3</v>
      </c>
      <c r="AG16">
        <v>102722</v>
      </c>
      <c r="AH16" s="2">
        <f>_xlfn.LET(_xlpm.x,Table12211019[[#This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6.3379629629629626E-4</v>
      </c>
      <c r="AI16" s="3">
        <f>IF(Table12211019[[#This Row],[run 1 times]]="",999.99,IF(Table12211019[[#This Row],[run 1 times]]=$AO$3,0,MAX(0,ROUND(((Table12211019[[#This Row],[run 1 times]]-$AO$3)/$AO$3)*$AO$6,2))))</f>
        <v>112.64</v>
      </c>
      <c r="AJ16" s="2">
        <f>_xlfn.LET(_xlpm.x,Table12211019[[#This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5.7083333333333335E-4</v>
      </c>
      <c r="AK16" s="3">
        <f>IF(Table12211019[[#This Row],[run2 times]]="",999.99,IF(Table12211019[[#This Row],[run2 times]]=$AP$3,0,MAX(0,ROUND(((Table12211019[[#This Row],[run2 times]]-$AP$3)/$AP$3)*$AO$6,2))))</f>
        <v>152.87</v>
      </c>
      <c r="AL16" s="2">
        <f>IF(OR(Table12211019[[#This Row],[run 1 times]]="",Table12211019[[#This Row],[run2 times]]=""),"",Table12211019[[#This Row],[run 1 times]]+Table12211019[[#This Row],[run2 times]])</f>
        <v>1.2046296296296297E-3</v>
      </c>
      <c r="AM16" s="3">
        <f>IF(Table12211019[[#This Row],[total time]]="",999.99,IF(Table12211019[[#This Row],[total time]]=$AQ$3,0,MAX(0,ROUND(((Table12211019[[#This Row],[total time]]-$AQ$3)/$AQ$3)*$AO$6,2))))</f>
        <v>118.64</v>
      </c>
    </row>
    <row r="17" spans="1:39" x14ac:dyDescent="0.3">
      <c r="A17">
        <v>16</v>
      </c>
      <c r="B17">
        <v>39</v>
      </c>
      <c r="C17" t="s">
        <v>479</v>
      </c>
      <c r="D17" t="s">
        <v>522</v>
      </c>
      <c r="E17" t="s">
        <v>677</v>
      </c>
      <c r="F17">
        <v>2012</v>
      </c>
      <c r="G17" s="1">
        <v>56.37</v>
      </c>
      <c r="H17" s="1">
        <v>56.27</v>
      </c>
      <c r="I17" s="1">
        <v>1.3037037037037036E-3</v>
      </c>
      <c r="K17">
        <v>102357</v>
      </c>
      <c r="L17" s="2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6.5243055555555551E-4</v>
      </c>
      <c r="M17" s="3">
        <f>IF(Table12716[[#This Row],[run 1 times]]="",999.99,IF(Table12716[[#This Row],[run 1 times]]=$S$3,0,MAX(0,ROUND(((Table12716[[#This Row],[run 1 times]]-$S$3)/$S$3)*$S$6,2))))</f>
        <v>158.77000000000001</v>
      </c>
      <c r="N17" s="2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6.5127314814814822E-4</v>
      </c>
      <c r="O17" s="3">
        <f>IF(Table12716[[#This Row],[run2 times]]="",999.99,IF(Table12716[[#This Row],[run2 times]]=$T$3,0,MAX(0,ROUND(((Table12716[[#This Row],[run2 times]]-$T$3)/$T$3)*$S$6,2))))</f>
        <v>173.79</v>
      </c>
      <c r="P17" s="2">
        <f>IF(OR(Table12716[[#This Row],[run 1 times]]="",Table12716[[#This Row],[run2 times]]=""),"",Table12716[[#This Row],[run 1 times]]+Table12716[[#This Row],[run2 times]])</f>
        <v>1.3037037037037036E-3</v>
      </c>
      <c r="Q17" s="3">
        <f>IF(Table12716[[#This Row],[total time]]="",999.99,IF(Table12716[[#This Row],[total time]]=$U$3,0,MAX(0,ROUND(((Table12716[[#This Row],[total time]]-$U$3)/$U$3)*$S$6,2))))</f>
        <v>158.37</v>
      </c>
      <c r="W17">
        <v>14</v>
      </c>
      <c r="X17">
        <v>177</v>
      </c>
      <c r="Y17" t="s">
        <v>257</v>
      </c>
      <c r="Z17" t="s">
        <v>547</v>
      </c>
      <c r="AA17" t="s">
        <v>767</v>
      </c>
      <c r="AB17">
        <v>2010</v>
      </c>
      <c r="AC17" s="1">
        <v>55.3</v>
      </c>
      <c r="AD17" s="1">
        <v>50.29</v>
      </c>
      <c r="AE17" s="1">
        <v>1.2221064814814816E-3</v>
      </c>
      <c r="AG17">
        <v>106380</v>
      </c>
      <c r="AH17" s="2">
        <f>_xlfn.LET(_xlpm.x,Table12211019[[#This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6.4004629629629622E-4</v>
      </c>
      <c r="AI17" s="3">
        <f>IF(Table12211019[[#This Row],[run 1 times]]="",999.99,IF(Table12211019[[#This Row],[run 1 times]]=$AO$3,0,MAX(0,ROUND(((Table12211019[[#This Row],[run 1 times]]-$AO$3)/$AO$3)*$AO$6,2))))</f>
        <v>120.95</v>
      </c>
      <c r="AJ17" s="2">
        <f>_xlfn.LET(_xlpm.x,Table12211019[[#This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5.8206018518518513E-4</v>
      </c>
      <c r="AK17" s="3">
        <f>IF(Table12211019[[#This Row],[run2 times]]="",999.99,IF(Table12211019[[#This Row],[run2 times]]=$AP$3,0,MAX(0,ROUND(((Table12211019[[#This Row],[run2 times]]-$AP$3)/$AP$3)*$AO$6,2))))</f>
        <v>170.24</v>
      </c>
      <c r="AL17" s="2">
        <f>IF(OR(Table12211019[[#This Row],[run 1 times]]="",Table12211019[[#This Row],[run2 times]]=""),"",Table12211019[[#This Row],[run 1 times]]+Table12211019[[#This Row],[run2 times]])</f>
        <v>1.2221064814814814E-3</v>
      </c>
      <c r="AM17" s="3">
        <f>IF(Table12211019[[#This Row],[total time]]="",999.99,IF(Table12211019[[#This Row],[total time]]=$AQ$3,0,MAX(0,ROUND(((Table12211019[[#This Row],[total time]]-$AQ$3)/$AQ$3)*$AO$6,2))))</f>
        <v>130.94999999999999</v>
      </c>
    </row>
    <row r="18" spans="1:39" x14ac:dyDescent="0.3">
      <c r="A18">
        <v>6</v>
      </c>
      <c r="B18">
        <v>29</v>
      </c>
      <c r="C18" t="s">
        <v>487</v>
      </c>
      <c r="D18" t="s">
        <v>522</v>
      </c>
      <c r="E18" t="s">
        <v>697</v>
      </c>
      <c r="F18">
        <v>2013</v>
      </c>
      <c r="G18" s="1">
        <v>7.2962962962962966E-4</v>
      </c>
      <c r="H18" s="1">
        <v>56.73</v>
      </c>
      <c r="I18" s="1">
        <v>1.386226851851852E-3</v>
      </c>
      <c r="K18">
        <v>121019</v>
      </c>
      <c r="L18" s="2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7.2962962962962966E-4</v>
      </c>
      <c r="M18" s="3">
        <f>IF(Table12716[[#This Row],[run 1 times]]="",999.99,IF(Table12716[[#This Row],[run 1 times]]=$S$3,0,MAX(0,ROUND(((Table12716[[#This Row],[run 1 times]]-$S$3)/$S$3)*$S$6,2))))</f>
        <v>263.94</v>
      </c>
      <c r="N18" s="2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6.5659722222222215E-4</v>
      </c>
      <c r="O18" s="3">
        <f>IF(Table12716[[#This Row],[run2 times]]="",999.99,IF(Table12716[[#This Row],[run2 times]]=$T$3,0,MAX(0,ROUND(((Table12716[[#This Row],[run2 times]]-$T$3)/$T$3)*$S$6,2))))</f>
        <v>181.17</v>
      </c>
      <c r="P18" s="2">
        <f>IF(OR(Table12716[[#This Row],[run 1 times]]="",Table12716[[#This Row],[run2 times]]=""),"",Table12716[[#This Row],[run 1 times]]+Table12716[[#This Row],[run2 times]])</f>
        <v>1.3862268518518518E-3</v>
      </c>
      <c r="Q18" s="3">
        <f>IF(Table12716[[#This Row],[total time]]="",999.99,IF(Table12716[[#This Row],[total time]]=$U$3,0,MAX(0,ROUND(((Table12716[[#This Row],[total time]]-$U$3)/$U$3)*$S$6,2))))</f>
        <v>214.6</v>
      </c>
      <c r="W18">
        <v>16</v>
      </c>
      <c r="X18">
        <v>151</v>
      </c>
      <c r="Y18" t="s">
        <v>257</v>
      </c>
      <c r="Z18" t="s">
        <v>547</v>
      </c>
      <c r="AA18" t="s">
        <v>741</v>
      </c>
      <c r="AB18">
        <v>2010</v>
      </c>
      <c r="AC18" s="1">
        <v>57.92</v>
      </c>
      <c r="AD18" s="1">
        <v>55.1</v>
      </c>
      <c r="AE18" s="1">
        <v>1.308101851851852E-3</v>
      </c>
      <c r="AG18">
        <v>102719</v>
      </c>
      <c r="AH18" s="2">
        <f>_xlfn.LET(_xlpm.x,Table12211019[[#This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6.7037037037037043E-4</v>
      </c>
      <c r="AI18" s="3">
        <f>IF(Table12211019[[#This Row],[run 1 times]]="",999.99,IF(Table12211019[[#This Row],[run 1 times]]=$AO$3,0,MAX(0,ROUND(((Table12211019[[#This Row],[run 1 times]]-$AO$3)/$AO$3)*$AO$6,2))))</f>
        <v>161.26</v>
      </c>
      <c r="AJ18" s="2">
        <f>_xlfn.LET(_xlpm.x,Table12211019[[#This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6.3773148148148153E-4</v>
      </c>
      <c r="AK18" s="3">
        <f>IF(Table12211019[[#This Row],[run2 times]]="",999.99,IF(Table12211019[[#This Row],[run2 times]]=$AP$3,0,MAX(0,ROUND(((Table12211019[[#This Row],[run2 times]]-$AP$3)/$AP$3)*$AO$6,2))))</f>
        <v>256.33999999999997</v>
      </c>
      <c r="AL18" s="2">
        <f>IF(OR(Table12211019[[#This Row],[run 1 times]]="",Table12211019[[#This Row],[run2 times]]=""),"",Table12211019[[#This Row],[run 1 times]]+Table12211019[[#This Row],[run2 times]])</f>
        <v>1.308101851851852E-3</v>
      </c>
      <c r="AM18" s="3">
        <f>IF(Table12211019[[#This Row],[total time]]="",999.99,IF(Table12211019[[#This Row],[total time]]=$AQ$3,0,MAX(0,ROUND(((Table12211019[[#This Row],[total time]]-$AQ$3)/$AQ$3)*$AO$6,2))))</f>
        <v>191.53</v>
      </c>
    </row>
    <row r="19" spans="1:39" x14ac:dyDescent="0.3">
      <c r="A19">
        <v>27</v>
      </c>
      <c r="B19">
        <v>3</v>
      </c>
      <c r="C19" t="s">
        <v>223</v>
      </c>
      <c r="D19" t="s">
        <v>480</v>
      </c>
      <c r="E19" t="s">
        <v>676</v>
      </c>
      <c r="F19">
        <v>2015</v>
      </c>
      <c r="G19" s="1">
        <v>55.54</v>
      </c>
      <c r="H19" s="1">
        <v>57.62</v>
      </c>
      <c r="I19" s="1">
        <v>1.3097222222222221E-3</v>
      </c>
      <c r="K19">
        <v>107257</v>
      </c>
      <c r="L19" s="2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6.4282407407407409E-4</v>
      </c>
      <c r="M19" s="3">
        <f>IF(Table12716[[#This Row],[run 1 times]]="",999.99,IF(Table12716[[#This Row],[run 1 times]]=$S$3,0,MAX(0,ROUND(((Table12716[[#This Row],[run 1 times]]-$S$3)/$S$3)*$S$6,2))))</f>
        <v>145.68</v>
      </c>
      <c r="N19" s="2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6.6689814814814812E-4</v>
      </c>
      <c r="O19" s="3">
        <f>IF(Table12716[[#This Row],[run2 times]]="",999.99,IF(Table12716[[#This Row],[run2 times]]=$T$3,0,MAX(0,ROUND(((Table12716[[#This Row],[run2 times]]-$T$3)/$T$3)*$S$6,2))))</f>
        <v>195.47</v>
      </c>
      <c r="P19" s="2">
        <f>IF(OR(Table12716[[#This Row],[run 1 times]]="",Table12716[[#This Row],[run2 times]]=""),"",Table12716[[#This Row],[run 1 times]]+Table12716[[#This Row],[run2 times]])</f>
        <v>1.3097222222222221E-3</v>
      </c>
      <c r="Q19" s="3">
        <f>IF(Table12716[[#This Row],[total time]]="",999.99,IF(Table12716[[#This Row],[total time]]=$U$3,0,MAX(0,ROUND(((Table12716[[#This Row],[total time]]-$U$3)/$U$3)*$S$6,2))))</f>
        <v>162.47</v>
      </c>
      <c r="W19">
        <v>28</v>
      </c>
      <c r="X19">
        <v>163</v>
      </c>
      <c r="Y19" t="s">
        <v>373</v>
      </c>
      <c r="Z19" t="s">
        <v>547</v>
      </c>
      <c r="AA19" t="s">
        <v>753</v>
      </c>
      <c r="AB19">
        <v>2011</v>
      </c>
      <c r="AC19" s="1">
        <v>7.0567129629629625E-4</v>
      </c>
      <c r="AD19" s="1">
        <v>53.25</v>
      </c>
      <c r="AE19" s="1">
        <v>1.3219907407407408E-3</v>
      </c>
      <c r="AG19">
        <v>112387</v>
      </c>
      <c r="AH19" s="2">
        <f>_xlfn.LET(_xlpm.x,Table12211019[[#This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7.0567129629629625E-4</v>
      </c>
      <c r="AI19" s="3">
        <f>IF(Table12211019[[#This Row],[run 1 times]]="",999.99,IF(Table12211019[[#This Row],[run 1 times]]=$AO$3,0,MAX(0,ROUND(((Table12211019[[#This Row],[run 1 times]]-$AO$3)/$AO$3)*$AO$6,2))))</f>
        <v>208.2</v>
      </c>
      <c r="AJ19" s="2">
        <f>_xlfn.LET(_xlpm.x,Table12211019[[#This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6.163194444444444E-4</v>
      </c>
      <c r="AK19" s="3">
        <f>IF(Table12211019[[#This Row],[run2 times]]="",999.99,IF(Table12211019[[#This Row],[run2 times]]=$AP$3,0,MAX(0,ROUND(((Table12211019[[#This Row],[run2 times]]-$AP$3)/$AP$3)*$AO$6,2))))</f>
        <v>223.22</v>
      </c>
      <c r="AL19" s="2">
        <f>IF(OR(Table12211019[[#This Row],[run 1 times]]="",Table12211019[[#This Row],[run2 times]]=""),"",Table12211019[[#This Row],[run 1 times]]+Table12211019[[#This Row],[run2 times]])</f>
        <v>1.3219907407407408E-3</v>
      </c>
      <c r="AM19" s="3">
        <f>IF(Table12211019[[#This Row],[total time]]="",999.99,IF(Table12211019[[#This Row],[total time]]=$AQ$3,0,MAX(0,ROUND(((Table12211019[[#This Row],[total time]]-$AQ$3)/$AQ$3)*$AO$6,2))))</f>
        <v>201.31</v>
      </c>
    </row>
    <row r="20" spans="1:39" x14ac:dyDescent="0.3">
      <c r="A20">
        <v>20</v>
      </c>
      <c r="B20">
        <v>43</v>
      </c>
      <c r="C20" t="s">
        <v>24</v>
      </c>
      <c r="D20" t="s">
        <v>522</v>
      </c>
      <c r="E20" t="s">
        <v>691</v>
      </c>
      <c r="F20">
        <v>2013</v>
      </c>
      <c r="G20" s="1" t="s">
        <v>512</v>
      </c>
      <c r="H20" s="1">
        <v>58.21</v>
      </c>
      <c r="I20" s="1"/>
      <c r="K20">
        <v>102827</v>
      </c>
      <c r="L20" s="2" t="str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20" s="3">
        <f>IF(Table12716[[#This Row],[run 1 times]]="",999.99,IF(Table12716[[#This Row],[run 1 times]]=$S$3,0,MAX(0,ROUND(((Table12716[[#This Row],[run 1 times]]-$S$3)/$S$3)*$S$6,2))))</f>
        <v>999.99</v>
      </c>
      <c r="N20" s="2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6.737268518518519E-4</v>
      </c>
      <c r="O20" s="3">
        <f>IF(Table12716[[#This Row],[run2 times]]="",999.99,IF(Table12716[[#This Row],[run2 times]]=$T$3,0,MAX(0,ROUND(((Table12716[[#This Row],[run2 times]]-$T$3)/$T$3)*$S$6,2))))</f>
        <v>204.95</v>
      </c>
      <c r="P20" s="2" t="str">
        <f>IF(OR(Table12716[[#This Row],[run 1 times]]="",Table12716[[#This Row],[run2 times]]=""),"",Table12716[[#This Row],[run 1 times]]+Table12716[[#This Row],[run2 times]])</f>
        <v/>
      </c>
      <c r="Q20" s="3">
        <f>IF(Table12716[[#This Row],[total time]]="",999.99,IF(Table12716[[#This Row],[total time]]=$U$3,0,MAX(0,ROUND(((Table12716[[#This Row],[total time]]-$U$3)/$U$3)*$S$6,2))))</f>
        <v>999.99</v>
      </c>
      <c r="W20">
        <v>22</v>
      </c>
      <c r="X20">
        <v>157</v>
      </c>
      <c r="Y20" t="s">
        <v>487</v>
      </c>
      <c r="Z20" t="s">
        <v>547</v>
      </c>
      <c r="AA20" t="s">
        <v>747</v>
      </c>
      <c r="AB20">
        <v>2011</v>
      </c>
      <c r="AC20" s="1">
        <v>7.418981481481481E-4</v>
      </c>
      <c r="AD20" s="1">
        <v>59.59</v>
      </c>
      <c r="AE20" s="1">
        <v>1.4315972222222221E-3</v>
      </c>
      <c r="AG20">
        <v>88900</v>
      </c>
      <c r="AH20" s="2">
        <f>_xlfn.LET(_xlpm.x,Table12211019[[#This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7.418981481481481E-4</v>
      </c>
      <c r="AI20" s="3">
        <f>IF(Table12211019[[#This Row],[run 1 times]]="",999.99,IF(Table12211019[[#This Row],[run 1 times]]=$AO$3,0,MAX(0,ROUND(((Table12211019[[#This Row],[run 1 times]]-$AO$3)/$AO$3)*$AO$6,2))))</f>
        <v>256.36</v>
      </c>
      <c r="AJ20" s="2">
        <f>_xlfn.LET(_xlpm.x,Table12211019[[#This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6.8969907407407413E-4</v>
      </c>
      <c r="AK20" s="3">
        <f>IF(Table12211019[[#This Row],[run2 times]]="",999.99,IF(Table12211019[[#This Row],[run2 times]]=$AP$3,0,MAX(0,ROUND(((Table12211019[[#This Row],[run2 times]]-$AP$3)/$AP$3)*$AO$6,2))))</f>
        <v>336.72</v>
      </c>
      <c r="AL20" s="2">
        <f>IF(OR(Table12211019[[#This Row],[run 1 times]]="",Table12211019[[#This Row],[run2 times]]=""),"",Table12211019[[#This Row],[run 1 times]]+Table12211019[[#This Row],[run2 times]])</f>
        <v>1.4315972222222221E-3</v>
      </c>
      <c r="AM20" s="3">
        <f>IF(Table12211019[[#This Row],[total time]]="",999.99,IF(Table12211019[[#This Row],[total time]]=$AQ$3,0,MAX(0,ROUND(((Table12211019[[#This Row],[total time]]-$AQ$3)/$AQ$3)*$AO$6,2))))</f>
        <v>278.52999999999997</v>
      </c>
    </row>
    <row r="21" spans="1:39" x14ac:dyDescent="0.3">
      <c r="A21">
        <v>7</v>
      </c>
      <c r="B21">
        <v>30</v>
      </c>
      <c r="C21" t="s">
        <v>24</v>
      </c>
      <c r="D21" t="s">
        <v>522</v>
      </c>
      <c r="E21" t="s">
        <v>681</v>
      </c>
      <c r="F21">
        <v>2013</v>
      </c>
      <c r="G21" s="1">
        <v>59.3</v>
      </c>
      <c r="H21" s="1">
        <v>59.14</v>
      </c>
      <c r="I21" s="1">
        <v>1.3708333333333333E-3</v>
      </c>
      <c r="K21">
        <v>108684</v>
      </c>
      <c r="L21" s="2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6.8634259259259256E-4</v>
      </c>
      <c r="M21" s="3">
        <f>IF(Table12716[[#This Row],[run 1 times]]="",999.99,IF(Table12716[[#This Row],[run 1 times]]=$S$3,0,MAX(0,ROUND(((Table12716[[#This Row],[run 1 times]]-$S$3)/$S$3)*$S$6,2))))</f>
        <v>204.97</v>
      </c>
      <c r="N21" s="2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6.8449074074074072E-4</v>
      </c>
      <c r="O21" s="3">
        <f>IF(Table12716[[#This Row],[run2 times]]="",999.99,IF(Table12716[[#This Row],[run2 times]]=$T$3,0,MAX(0,ROUND(((Table12716[[#This Row],[run2 times]]-$T$3)/$T$3)*$S$6,2))))</f>
        <v>219.88</v>
      </c>
      <c r="P21" s="2">
        <f>IF(OR(Table12716[[#This Row],[run 1 times]]="",Table12716[[#This Row],[run2 times]]=""),"",Table12716[[#This Row],[run 1 times]]+Table12716[[#This Row],[run2 times]])</f>
        <v>1.3708333333333333E-3</v>
      </c>
      <c r="Q21" s="3">
        <f>IF(Table12716[[#This Row],[total time]]="",999.99,IF(Table12716[[#This Row],[total time]]=$U$3,0,MAX(0,ROUND(((Table12716[[#This Row],[total time]]-$U$3)/$U$3)*$S$6,2))))</f>
        <v>204.11</v>
      </c>
      <c r="W21">
        <v>6</v>
      </c>
      <c r="X21">
        <v>169</v>
      </c>
      <c r="Y21" t="s">
        <v>24</v>
      </c>
      <c r="Z21" t="s">
        <v>547</v>
      </c>
      <c r="AA21" t="s">
        <v>759</v>
      </c>
      <c r="AB21">
        <v>2011</v>
      </c>
      <c r="AC21" s="1">
        <v>50.29</v>
      </c>
      <c r="AD21" s="1" t="s">
        <v>512</v>
      </c>
      <c r="AE21" s="1"/>
      <c r="AG21">
        <v>88784</v>
      </c>
      <c r="AH21" s="2">
        <f>_xlfn.LET(_xlpm.x,Table12211019[[#This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5.8206018518518513E-4</v>
      </c>
      <c r="AI21" s="3">
        <f>IF(Table12211019[[#This Row],[run 1 times]]="",999.99,IF(Table12211019[[#This Row],[run 1 times]]=$AO$3,0,MAX(0,ROUND(((Table12211019[[#This Row],[run 1 times]]-$AO$3)/$AO$3)*$AO$6,2))))</f>
        <v>43.86</v>
      </c>
      <c r="AJ21" s="2" t="str">
        <f>_xlfn.LET(_xlpm.x,Table12211019[[#This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21" s="3">
        <f>IF(Table12211019[[#This Row],[run2 times]]="",999.99,IF(Table12211019[[#This Row],[run2 times]]=$AP$3,0,MAX(0,ROUND(((Table12211019[[#This Row],[run2 times]]-$AP$3)/$AP$3)*$AO$6,2))))</f>
        <v>999.99</v>
      </c>
      <c r="AL21" s="2" t="str">
        <f>IF(OR(Table12211019[[#This Row],[run 1 times]]="",Table12211019[[#This Row],[run2 times]]=""),"",Table12211019[[#This Row],[run 1 times]]+Table12211019[[#This Row],[run2 times]])</f>
        <v/>
      </c>
      <c r="AM21" s="3">
        <f>IF(Table12211019[[#This Row],[total time]]="",999.99,IF(Table12211019[[#This Row],[total time]]=$AQ$3,0,MAX(0,ROUND(((Table12211019[[#This Row],[total time]]-$AQ$3)/$AQ$3)*$AO$6,2))))</f>
        <v>999.99</v>
      </c>
    </row>
    <row r="22" spans="1:39" x14ac:dyDescent="0.3">
      <c r="A22">
        <v>40</v>
      </c>
      <c r="B22">
        <v>16</v>
      </c>
      <c r="C22" t="s">
        <v>487</v>
      </c>
      <c r="D22" t="s">
        <v>522</v>
      </c>
      <c r="E22" t="s">
        <v>703</v>
      </c>
      <c r="F22">
        <v>2012</v>
      </c>
      <c r="G22" s="1" t="s">
        <v>512</v>
      </c>
      <c r="H22" s="1">
        <v>7.1076388888888882E-4</v>
      </c>
      <c r="I22" s="1"/>
      <c r="K22">
        <v>112944</v>
      </c>
      <c r="L22" s="2" t="str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22" s="3">
        <f>IF(Table12716[[#This Row],[run 1 times]]="",999.99,IF(Table12716[[#This Row],[run 1 times]]=$S$3,0,MAX(0,ROUND(((Table12716[[#This Row],[run 1 times]]-$S$3)/$S$3)*$S$6,2))))</f>
        <v>999.99</v>
      </c>
      <c r="N22" s="2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7.1076388888888882E-4</v>
      </c>
      <c r="O22" s="3">
        <f>IF(Table12716[[#This Row],[run2 times]]="",999.99,IF(Table12716[[#This Row],[run2 times]]=$T$3,0,MAX(0,ROUND(((Table12716[[#This Row],[run2 times]]-$T$3)/$T$3)*$S$6,2))))</f>
        <v>256.33999999999997</v>
      </c>
      <c r="P22" s="2" t="str">
        <f>IF(OR(Table12716[[#This Row],[run 1 times]]="",Table12716[[#This Row],[run2 times]]=""),"",Table12716[[#This Row],[run 1 times]]+Table12716[[#This Row],[run2 times]])</f>
        <v/>
      </c>
      <c r="Q22" s="3">
        <f>IF(Table12716[[#This Row],[total time]]="",999.99,IF(Table12716[[#This Row],[total time]]=$U$3,0,MAX(0,ROUND(((Table12716[[#This Row],[total time]]-$U$3)/$U$3)*$S$6,2))))</f>
        <v>999.99</v>
      </c>
      <c r="W22">
        <v>1</v>
      </c>
      <c r="X22">
        <v>164</v>
      </c>
      <c r="Y22" t="s">
        <v>24</v>
      </c>
      <c r="Z22" t="s">
        <v>547</v>
      </c>
      <c r="AA22" t="s">
        <v>754</v>
      </c>
      <c r="AB22">
        <v>2010</v>
      </c>
      <c r="AC22" s="1">
        <v>54.11</v>
      </c>
      <c r="AD22" s="1" t="s">
        <v>512</v>
      </c>
      <c r="AE22" s="1"/>
      <c r="AG22">
        <v>93749</v>
      </c>
      <c r="AH22" s="2">
        <f>_xlfn.LET(_xlpm.x,Table12211019[[#This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6.2627314814814815E-4</v>
      </c>
      <c r="AI22" s="3">
        <f>IF(Table12211019[[#This Row],[run 1 times]]="",999.99,IF(Table12211019[[#This Row],[run 1 times]]=$AO$3,0,MAX(0,ROUND(((Table12211019[[#This Row],[run 1 times]]-$AO$3)/$AO$3)*$AO$6,2))))</f>
        <v>102.64</v>
      </c>
      <c r="AJ22" s="2" t="str">
        <f>_xlfn.LET(_xlpm.x,Table12211019[[#This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22" s="3">
        <f>IF(Table12211019[[#This Row],[run2 times]]="",999.99,IF(Table12211019[[#This Row],[run2 times]]=$AP$3,0,MAX(0,ROUND(((Table12211019[[#This Row],[run2 times]]-$AP$3)/$AP$3)*$AO$6,2))))</f>
        <v>999.99</v>
      </c>
      <c r="AL22" s="2" t="str">
        <f>IF(OR(Table12211019[[#This Row],[run 1 times]]="",Table12211019[[#This Row],[run2 times]]=""),"",Table12211019[[#This Row],[run 1 times]]+Table12211019[[#This Row],[run2 times]])</f>
        <v/>
      </c>
      <c r="AM22" s="3">
        <f>IF(Table12211019[[#This Row],[total time]]="",999.99,IF(Table12211019[[#This Row],[total time]]=$AQ$3,0,MAX(0,ROUND(((Table12211019[[#This Row],[total time]]-$AQ$3)/$AQ$3)*$AO$6,2))))</f>
        <v>999.99</v>
      </c>
    </row>
    <row r="23" spans="1:39" x14ac:dyDescent="0.3">
      <c r="A23">
        <v>32</v>
      </c>
      <c r="B23">
        <v>8</v>
      </c>
      <c r="C23" t="s">
        <v>479</v>
      </c>
      <c r="D23" t="s">
        <v>480</v>
      </c>
      <c r="E23" t="s">
        <v>679</v>
      </c>
      <c r="F23">
        <v>2014</v>
      </c>
      <c r="G23" s="1">
        <v>6.9837962962962963E-4</v>
      </c>
      <c r="H23" s="1">
        <v>7.1689814814814815E-4</v>
      </c>
      <c r="I23" s="1">
        <v>1.4152777777777779E-3</v>
      </c>
      <c r="K23">
        <v>103280</v>
      </c>
      <c r="L23" s="2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6.9837962962962963E-4</v>
      </c>
      <c r="M23" s="3">
        <f>IF(Table12716[[#This Row],[run 1 times]]="",999.99,IF(Table12716[[#This Row],[run 1 times]]=$S$3,0,MAX(0,ROUND(((Table12716[[#This Row],[run 1 times]]-$S$3)/$S$3)*$S$6,2))))</f>
        <v>221.37</v>
      </c>
      <c r="N23" s="2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7.1689814814814815E-4</v>
      </c>
      <c r="O23" s="3">
        <f>IF(Table12716[[#This Row],[run2 times]]="",999.99,IF(Table12716[[#This Row],[run2 times]]=$T$3,0,MAX(0,ROUND(((Table12716[[#This Row],[run2 times]]-$T$3)/$T$3)*$S$6,2))))</f>
        <v>264.86</v>
      </c>
      <c r="P23" s="2">
        <f>IF(OR(Table12716[[#This Row],[run 1 times]]="",Table12716[[#This Row],[run2 times]]=""),"",Table12716[[#This Row],[run 1 times]]+Table12716[[#This Row],[run2 times]])</f>
        <v>1.4152777777777779E-3</v>
      </c>
      <c r="Q23" s="3">
        <f>IF(Table12716[[#This Row],[total time]]="",999.99,IF(Table12716[[#This Row],[total time]]=$U$3,0,MAX(0,ROUND(((Table12716[[#This Row],[total time]]-$U$3)/$U$3)*$S$6,2))))</f>
        <v>234.39</v>
      </c>
      <c r="W23">
        <v>17</v>
      </c>
      <c r="X23">
        <v>152</v>
      </c>
      <c r="Y23" t="s">
        <v>24</v>
      </c>
      <c r="Z23" t="s">
        <v>547</v>
      </c>
      <c r="AA23" t="s">
        <v>742</v>
      </c>
      <c r="AB23">
        <v>2010</v>
      </c>
      <c r="AC23" s="1" t="s">
        <v>512</v>
      </c>
      <c r="AD23" s="1">
        <v>45.29</v>
      </c>
      <c r="AE23" s="1"/>
      <c r="AG23">
        <v>89651</v>
      </c>
      <c r="AH23" s="2" t="str">
        <f>_xlfn.LET(_xlpm.x,Table12211019[[#This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23" s="3">
        <f>IF(Table12211019[[#This Row],[run 1 times]]="",999.99,IF(Table12211019[[#This Row],[run 1 times]]=$AO$3,0,MAX(0,ROUND(((Table12211019[[#This Row],[run 1 times]]-$AO$3)/$AO$3)*$AO$6,2))))</f>
        <v>999.99</v>
      </c>
      <c r="AJ23" s="2">
        <f>_xlfn.LET(_xlpm.x,Table12211019[[#This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5.2418981481481479E-4</v>
      </c>
      <c r="AK23" s="3">
        <f>IF(Table12211019[[#This Row],[run2 times]]="",999.99,IF(Table12211019[[#This Row],[run2 times]]=$AP$3,0,MAX(0,ROUND(((Table12211019[[#This Row],[run2 times]]-$AP$3)/$AP$3)*$AO$6,2))))</f>
        <v>80.73</v>
      </c>
      <c r="AL23" s="2" t="str">
        <f>IF(OR(Table12211019[[#This Row],[run 1 times]]="",Table12211019[[#This Row],[run2 times]]=""),"",Table12211019[[#This Row],[run 1 times]]+Table12211019[[#This Row],[run2 times]])</f>
        <v/>
      </c>
      <c r="AM23" s="3">
        <f>IF(Table12211019[[#This Row],[total time]]="",999.99,IF(Table12211019[[#This Row],[total time]]=$AQ$3,0,MAX(0,ROUND(((Table12211019[[#This Row],[total time]]-$AQ$3)/$AQ$3)*$AO$6,2))))</f>
        <v>999.99</v>
      </c>
    </row>
    <row r="24" spans="1:39" x14ac:dyDescent="0.3">
      <c r="A24">
        <v>15</v>
      </c>
      <c r="B24">
        <v>38</v>
      </c>
      <c r="C24" t="s">
        <v>373</v>
      </c>
      <c r="D24" t="s">
        <v>480</v>
      </c>
      <c r="E24" t="s">
        <v>694</v>
      </c>
      <c r="F24">
        <v>2014</v>
      </c>
      <c r="G24" s="1">
        <v>7.5902777777777774E-4</v>
      </c>
      <c r="H24" s="1">
        <v>7.3981481481481478E-4</v>
      </c>
      <c r="I24" s="1">
        <v>1.4988425925925926E-3</v>
      </c>
      <c r="K24">
        <v>112394</v>
      </c>
      <c r="L24" s="2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7.5902777777777774E-4</v>
      </c>
      <c r="M24" s="3">
        <f>IF(Table12716[[#This Row],[run 1 times]]="",999.99,IF(Table12716[[#This Row],[run 1 times]]=$S$3,0,MAX(0,ROUND(((Table12716[[#This Row],[run 1 times]]-$S$3)/$S$3)*$S$6,2))))</f>
        <v>303.98</v>
      </c>
      <c r="N24" s="2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7.3981481481481478E-4</v>
      </c>
      <c r="O24" s="3">
        <f>IF(Table12716[[#This Row],[run2 times]]="",999.99,IF(Table12716[[#This Row],[run2 times]]=$T$3,0,MAX(0,ROUND(((Table12716[[#This Row],[run2 times]]-$T$3)/$T$3)*$S$6,2))))</f>
        <v>296.66000000000003</v>
      </c>
      <c r="P24" s="2">
        <f>IF(OR(Table12716[[#This Row],[run 1 times]]="",Table12716[[#This Row],[run2 times]]=""),"",Table12716[[#This Row],[run 1 times]]+Table12716[[#This Row],[run2 times]])</f>
        <v>1.4988425925925924E-3</v>
      </c>
      <c r="Q24" s="3">
        <f>IF(Table12716[[#This Row],[total time]]="",999.99,IF(Table12716[[#This Row],[total time]]=$U$3,0,MAX(0,ROUND(((Table12716[[#This Row],[total time]]-$U$3)/$U$3)*$S$6,2))))</f>
        <v>291.33999999999997</v>
      </c>
      <c r="W24">
        <v>25</v>
      </c>
      <c r="X24">
        <v>160</v>
      </c>
      <c r="Y24" t="s">
        <v>479</v>
      </c>
      <c r="Z24" t="s">
        <v>547</v>
      </c>
      <c r="AA24" t="s">
        <v>750</v>
      </c>
      <c r="AB24">
        <v>2011</v>
      </c>
      <c r="AC24" s="1" t="s">
        <v>518</v>
      </c>
      <c r="AD24" s="1">
        <v>46.01</v>
      </c>
      <c r="AE24" s="1"/>
      <c r="AG24">
        <v>101428</v>
      </c>
      <c r="AH24" s="2" t="str">
        <f>_xlfn.LET(_xlpm.x,Table12211019[[#This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24" s="3">
        <f>IF(Table12211019[[#This Row],[run 1 times]]="",999.99,IF(Table12211019[[#This Row],[run 1 times]]=$AO$3,0,MAX(0,ROUND(((Table12211019[[#This Row],[run 1 times]]-$AO$3)/$AO$3)*$AO$6,2))))</f>
        <v>999.99</v>
      </c>
      <c r="AJ24" s="2">
        <f>_xlfn.LET(_xlpm.x,Table12211019[[#This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5.3252314814814818E-4</v>
      </c>
      <c r="AK24" s="3">
        <f>IF(Table12211019[[#This Row],[run2 times]]="",999.99,IF(Table12211019[[#This Row],[run2 times]]=$AP$3,0,MAX(0,ROUND(((Table12211019[[#This Row],[run2 times]]-$AP$3)/$AP$3)*$AO$6,2))))</f>
        <v>93.62</v>
      </c>
      <c r="AL24" s="2" t="str">
        <f>IF(OR(Table12211019[[#This Row],[run 1 times]]="",Table12211019[[#This Row],[run2 times]]=""),"",Table12211019[[#This Row],[run 1 times]]+Table12211019[[#This Row],[run2 times]])</f>
        <v/>
      </c>
      <c r="AM24" s="3">
        <f>IF(Table12211019[[#This Row],[total time]]="",999.99,IF(Table12211019[[#This Row],[total time]]=$AQ$3,0,MAX(0,ROUND(((Table12211019[[#This Row],[total time]]-$AQ$3)/$AQ$3)*$AO$6,2))))</f>
        <v>999.99</v>
      </c>
    </row>
    <row r="25" spans="1:39" x14ac:dyDescent="0.3">
      <c r="A25">
        <v>37</v>
      </c>
      <c r="B25">
        <v>13</v>
      </c>
      <c r="C25" t="s">
        <v>257</v>
      </c>
      <c r="D25" t="s">
        <v>480</v>
      </c>
      <c r="E25" t="s">
        <v>682</v>
      </c>
      <c r="F25">
        <v>2014</v>
      </c>
      <c r="G25" s="1">
        <v>7.2789351851851856E-4</v>
      </c>
      <c r="H25" s="1">
        <v>7.407407407407407E-4</v>
      </c>
      <c r="I25" s="1">
        <v>1.4686342592592594E-3</v>
      </c>
      <c r="K25">
        <v>120809</v>
      </c>
      <c r="L25" s="2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7.2789351851851856E-4</v>
      </c>
      <c r="M25" s="3">
        <f>IF(Table12716[[#This Row],[run 1 times]]="",999.99,IF(Table12716[[#This Row],[run 1 times]]=$S$3,0,MAX(0,ROUND(((Table12716[[#This Row],[run 1 times]]-$S$3)/$S$3)*$S$6,2))))</f>
        <v>261.57</v>
      </c>
      <c r="N25" s="2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7.407407407407407E-4</v>
      </c>
      <c r="O25" s="3">
        <f>IF(Table12716[[#This Row],[run2 times]]="",999.99,IF(Table12716[[#This Row],[run2 times]]=$T$3,0,MAX(0,ROUND(((Table12716[[#This Row],[run2 times]]-$T$3)/$T$3)*$S$6,2))))</f>
        <v>297.94</v>
      </c>
      <c r="P25" s="2">
        <f>IF(OR(Table12716[[#This Row],[run 1 times]]="",Table12716[[#This Row],[run2 times]]=""),"",Table12716[[#This Row],[run 1 times]]+Table12716[[#This Row],[run2 times]])</f>
        <v>1.4686342592592594E-3</v>
      </c>
      <c r="Q25" s="3">
        <f>IF(Table12716[[#This Row],[total time]]="",999.99,IF(Table12716[[#This Row],[total time]]=$U$3,0,MAX(0,ROUND(((Table12716[[#This Row],[total time]]-$U$3)/$U$3)*$S$6,2))))</f>
        <v>270.75</v>
      </c>
      <c r="W25">
        <v>19</v>
      </c>
      <c r="X25">
        <v>154</v>
      </c>
      <c r="Y25" t="s">
        <v>257</v>
      </c>
      <c r="Z25" t="s">
        <v>547</v>
      </c>
      <c r="AA25" t="s">
        <v>744</v>
      </c>
      <c r="AB25">
        <v>2010</v>
      </c>
      <c r="AC25" s="1" t="s">
        <v>512</v>
      </c>
      <c r="AD25" s="1">
        <v>50.92</v>
      </c>
      <c r="AE25" s="1"/>
      <c r="AG25">
        <v>102725</v>
      </c>
      <c r="AH25" s="2" t="str">
        <f>_xlfn.LET(_xlpm.x,Table12211019[[#This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25" s="3">
        <f>IF(Table12211019[[#This Row],[run 1 times]]="",999.99,IF(Table12211019[[#This Row],[run 1 times]]=$AO$3,0,MAX(0,ROUND(((Table12211019[[#This Row],[run 1 times]]-$AO$3)/$AO$3)*$AO$6,2))))</f>
        <v>999.99</v>
      </c>
      <c r="AJ25" s="2">
        <f>_xlfn.LET(_xlpm.x,Table12211019[[#This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5.8935185185185186E-4</v>
      </c>
      <c r="AK25" s="3">
        <f>IF(Table12211019[[#This Row],[run2 times]]="",999.99,IF(Table12211019[[#This Row],[run2 times]]=$AP$3,0,MAX(0,ROUND(((Table12211019[[#This Row],[run2 times]]-$AP$3)/$AP$3)*$AO$6,2))))</f>
        <v>181.52</v>
      </c>
      <c r="AL25" s="2" t="str">
        <f>IF(OR(Table12211019[[#This Row],[run 1 times]]="",Table12211019[[#This Row],[run2 times]]=""),"",Table12211019[[#This Row],[run 1 times]]+Table12211019[[#This Row],[run2 times]])</f>
        <v/>
      </c>
      <c r="AM25" s="3">
        <f>IF(Table12211019[[#This Row],[total time]]="",999.99,IF(Table12211019[[#This Row],[total time]]=$AQ$3,0,MAX(0,ROUND(((Table12211019[[#This Row],[total time]]-$AQ$3)/$AQ$3)*$AO$6,2))))</f>
        <v>999.99</v>
      </c>
    </row>
    <row r="26" spans="1:39" x14ac:dyDescent="0.3">
      <c r="A26">
        <v>17</v>
      </c>
      <c r="B26">
        <v>40</v>
      </c>
      <c r="C26" t="s">
        <v>479</v>
      </c>
      <c r="D26" t="s">
        <v>480</v>
      </c>
      <c r="E26" t="s">
        <v>693</v>
      </c>
      <c r="F26">
        <v>2015</v>
      </c>
      <c r="G26" s="1" t="s">
        <v>512</v>
      </c>
      <c r="H26" s="1">
        <v>7.4386574074074069E-4</v>
      </c>
      <c r="I26" s="1"/>
      <c r="K26">
        <v>108183</v>
      </c>
      <c r="L26" s="2" t="str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26" s="3">
        <f>IF(Table12716[[#This Row],[run 1 times]]="",999.99,IF(Table12716[[#This Row],[run 1 times]]=$S$3,0,MAX(0,ROUND(((Table12716[[#This Row],[run 1 times]]-$S$3)/$S$3)*$S$6,2))))</f>
        <v>999.99</v>
      </c>
      <c r="N26" s="2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7.4386574074074069E-4</v>
      </c>
      <c r="O26" s="3">
        <f>IF(Table12716[[#This Row],[run2 times]]="",999.99,IF(Table12716[[#This Row],[run2 times]]=$T$3,0,MAX(0,ROUND(((Table12716[[#This Row],[run2 times]]-$T$3)/$T$3)*$S$6,2))))</f>
        <v>302.27999999999997</v>
      </c>
      <c r="P26" s="2" t="str">
        <f>IF(OR(Table12716[[#This Row],[run 1 times]]="",Table12716[[#This Row],[run2 times]]=""),"",Table12716[[#This Row],[run 1 times]]+Table12716[[#This Row],[run2 times]])</f>
        <v/>
      </c>
      <c r="Q26" s="3">
        <f>IF(Table12716[[#This Row],[total time]]="",999.99,IF(Table12716[[#This Row],[total time]]=$U$3,0,MAX(0,ROUND(((Table12716[[#This Row],[total time]]-$U$3)/$U$3)*$S$6,2))))</f>
        <v>999.99</v>
      </c>
      <c r="W26">
        <v>26</v>
      </c>
      <c r="X26">
        <v>161</v>
      </c>
      <c r="Y26" t="s">
        <v>24</v>
      </c>
      <c r="Z26" t="s">
        <v>547</v>
      </c>
      <c r="AA26" t="s">
        <v>751</v>
      </c>
      <c r="AB26">
        <v>2010</v>
      </c>
      <c r="AC26" s="1" t="s">
        <v>512</v>
      </c>
      <c r="AD26" s="1">
        <v>53.28</v>
      </c>
      <c r="AE26" s="1"/>
      <c r="AG26">
        <v>88776</v>
      </c>
      <c r="AH26" s="2" t="str">
        <f>_xlfn.LET(_xlpm.x,Table12211019[[#This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26" s="3">
        <f>IF(Table12211019[[#This Row],[run 1 times]]="",999.99,IF(Table12211019[[#This Row],[run 1 times]]=$AO$3,0,MAX(0,ROUND(((Table12211019[[#This Row],[run 1 times]]-$AO$3)/$AO$3)*$AO$6,2))))</f>
        <v>999.99</v>
      </c>
      <c r="AJ26" s="2">
        <f>_xlfn.LET(_xlpm.x,Table12211019[[#This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6.1666666666666673E-4</v>
      </c>
      <c r="AK26" s="3">
        <f>IF(Table12211019[[#This Row],[run2 times]]="",999.99,IF(Table12211019[[#This Row],[run2 times]]=$AP$3,0,MAX(0,ROUND(((Table12211019[[#This Row],[run2 times]]-$AP$3)/$AP$3)*$AO$6,2))))</f>
        <v>223.76</v>
      </c>
      <c r="AL26" s="2" t="str">
        <f>IF(OR(Table12211019[[#This Row],[run 1 times]]="",Table12211019[[#This Row],[run2 times]]=""),"",Table12211019[[#This Row],[run 1 times]]+Table12211019[[#This Row],[run2 times]])</f>
        <v/>
      </c>
      <c r="AM26" s="3">
        <f>IF(Table12211019[[#This Row],[total time]]="",999.99,IF(Table12211019[[#This Row],[total time]]=$AQ$3,0,MAX(0,ROUND(((Table12211019[[#This Row],[total time]]-$AQ$3)/$AQ$3)*$AO$6,2))))</f>
        <v>999.99</v>
      </c>
    </row>
    <row r="27" spans="1:39" x14ac:dyDescent="0.3">
      <c r="A27">
        <v>31</v>
      </c>
      <c r="B27">
        <v>7</v>
      </c>
      <c r="C27" t="s">
        <v>257</v>
      </c>
      <c r="D27" t="s">
        <v>522</v>
      </c>
      <c r="E27" t="s">
        <v>708</v>
      </c>
      <c r="F27">
        <v>2013</v>
      </c>
      <c r="G27" s="1" t="s">
        <v>512</v>
      </c>
      <c r="H27" s="1">
        <v>7.6608796296296299E-4</v>
      </c>
      <c r="I27" s="1"/>
      <c r="K27">
        <v>120663</v>
      </c>
      <c r="L27" s="2" t="str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27" s="3">
        <f>IF(Table12716[[#This Row],[run 1 times]]="",999.99,IF(Table12716[[#This Row],[run 1 times]]=$S$3,0,MAX(0,ROUND(((Table12716[[#This Row],[run 1 times]]-$S$3)/$S$3)*$S$6,2))))</f>
        <v>999.99</v>
      </c>
      <c r="N27" s="2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7.6608796296296299E-4</v>
      </c>
      <c r="O27" s="3">
        <f>IF(Table12716[[#This Row],[run2 times]]="",999.99,IF(Table12716[[#This Row],[run2 times]]=$T$3,0,MAX(0,ROUND(((Table12716[[#This Row],[run2 times]]-$T$3)/$T$3)*$S$6,2))))</f>
        <v>333.12</v>
      </c>
      <c r="P27" s="2" t="str">
        <f>IF(OR(Table12716[[#This Row],[run 1 times]]="",Table12716[[#This Row],[run2 times]]=""),"",Table12716[[#This Row],[run 1 times]]+Table12716[[#This Row],[run2 times]])</f>
        <v/>
      </c>
      <c r="Q27" s="3">
        <f>IF(Table12716[[#This Row],[total time]]="",999.99,IF(Table12716[[#This Row],[total time]]=$U$3,0,MAX(0,ROUND(((Table12716[[#This Row],[total time]]-$U$3)/$U$3)*$S$6,2))))</f>
        <v>999.99</v>
      </c>
      <c r="W27">
        <v>11</v>
      </c>
      <c r="X27">
        <v>174</v>
      </c>
      <c r="Y27" t="s">
        <v>487</v>
      </c>
      <c r="Z27" t="s">
        <v>547</v>
      </c>
      <c r="AA27" t="s">
        <v>764</v>
      </c>
      <c r="AB27">
        <v>2010</v>
      </c>
      <c r="AC27" s="1" t="s">
        <v>512</v>
      </c>
      <c r="AD27" s="1">
        <v>53.76</v>
      </c>
      <c r="AE27" s="1"/>
      <c r="AG27">
        <v>89445</v>
      </c>
      <c r="AH27" s="2" t="str">
        <f>_xlfn.LET(_xlpm.x,Table12211019[[#This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27" s="3">
        <f>IF(Table12211019[[#This Row],[run 1 times]]="",999.99,IF(Table12211019[[#This Row],[run 1 times]]=$AO$3,0,MAX(0,ROUND(((Table12211019[[#This Row],[run 1 times]]-$AO$3)/$AO$3)*$AO$6,2))))</f>
        <v>999.99</v>
      </c>
      <c r="AJ27" s="2">
        <f>_xlfn.LET(_xlpm.x,Table12211019[[#This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6.2222222222222225E-4</v>
      </c>
      <c r="AK27" s="3">
        <f>IF(Table12211019[[#This Row],[run2 times]]="",999.99,IF(Table12211019[[#This Row],[run2 times]]=$AP$3,0,MAX(0,ROUND(((Table12211019[[#This Row],[run2 times]]-$AP$3)/$AP$3)*$AO$6,2))))</f>
        <v>232.35</v>
      </c>
      <c r="AL27" s="2" t="str">
        <f>IF(OR(Table12211019[[#This Row],[run 1 times]]="",Table12211019[[#This Row],[run2 times]]=""),"",Table12211019[[#This Row],[run 1 times]]+Table12211019[[#This Row],[run2 times]])</f>
        <v/>
      </c>
      <c r="AM27" s="3">
        <f>IF(Table12211019[[#This Row],[total time]]="",999.99,IF(Table12211019[[#This Row],[total time]]=$AQ$3,0,MAX(0,ROUND(((Table12211019[[#This Row],[total time]]-$AQ$3)/$AQ$3)*$AO$6,2))))</f>
        <v>999.99</v>
      </c>
    </row>
    <row r="28" spans="1:39" x14ac:dyDescent="0.3">
      <c r="A28">
        <v>19</v>
      </c>
      <c r="B28">
        <v>42</v>
      </c>
      <c r="C28" t="s">
        <v>479</v>
      </c>
      <c r="D28" t="s">
        <v>480</v>
      </c>
      <c r="E28" t="s">
        <v>692</v>
      </c>
      <c r="F28">
        <v>2015</v>
      </c>
      <c r="G28" s="1">
        <v>8.1701388888888893E-4</v>
      </c>
      <c r="H28" s="1">
        <v>8.1423611111111106E-4</v>
      </c>
      <c r="I28" s="1">
        <v>1.6312499999999999E-3</v>
      </c>
      <c r="K28">
        <v>110054</v>
      </c>
      <c r="L28" s="2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8.1701388888888893E-4</v>
      </c>
      <c r="M28" s="3">
        <f>IF(Table12716[[#This Row],[run 1 times]]="",999.99,IF(Table12716[[#This Row],[run 1 times]]=$S$3,0,MAX(0,ROUND(((Table12716[[#This Row],[run 1 times]]-$S$3)/$S$3)*$S$6,2))))</f>
        <v>382.97</v>
      </c>
      <c r="N28" s="2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8.1423611111111106E-4</v>
      </c>
      <c r="O28" s="3">
        <f>IF(Table12716[[#This Row],[run2 times]]="",999.99,IF(Table12716[[#This Row],[run2 times]]=$T$3,0,MAX(0,ROUND(((Table12716[[#This Row],[run2 times]]-$T$3)/$T$3)*$S$6,2))))</f>
        <v>399.93</v>
      </c>
      <c r="P28" s="2">
        <f>IF(OR(Table12716[[#This Row],[run 1 times]]="",Table12716[[#This Row],[run2 times]]=""),"",Table12716[[#This Row],[run 1 times]]+Table12716[[#This Row],[run2 times]])</f>
        <v>1.6312499999999999E-3</v>
      </c>
      <c r="Q28" s="3">
        <f>IF(Table12716[[#This Row],[total time]]="",999.99,IF(Table12716[[#This Row],[total time]]=$U$3,0,MAX(0,ROUND(((Table12716[[#This Row],[total time]]-$U$3)/$U$3)*$S$6,2))))</f>
        <v>381.56</v>
      </c>
      <c r="W28">
        <v>9</v>
      </c>
      <c r="X28">
        <v>172</v>
      </c>
      <c r="Y28" t="s">
        <v>24</v>
      </c>
      <c r="Z28" t="s">
        <v>547</v>
      </c>
      <c r="AA28" t="s">
        <v>762</v>
      </c>
      <c r="AB28">
        <v>2011</v>
      </c>
      <c r="AC28" s="1" t="s">
        <v>512</v>
      </c>
      <c r="AD28" s="1" t="s">
        <v>512</v>
      </c>
      <c r="AE28" s="1"/>
      <c r="AG28">
        <v>89867</v>
      </c>
      <c r="AH28" s="2" t="str">
        <f>_xlfn.LET(_xlpm.x,Table12211019[[#This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28" s="3">
        <f>IF(Table12211019[[#This Row],[run 1 times]]="",999.99,IF(Table12211019[[#This Row],[run 1 times]]=$AO$3,0,MAX(0,ROUND(((Table12211019[[#This Row],[run 1 times]]-$AO$3)/$AO$3)*$AO$6,2))))</f>
        <v>999.99</v>
      </c>
      <c r="AJ28" s="2" t="str">
        <f>_xlfn.LET(_xlpm.x,Table12211019[[#This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28" s="3">
        <f>IF(Table12211019[[#This Row],[run2 times]]="",999.99,IF(Table12211019[[#This Row],[run2 times]]=$AP$3,0,MAX(0,ROUND(((Table12211019[[#This Row],[run2 times]]-$AP$3)/$AP$3)*$AO$6,2))))</f>
        <v>999.99</v>
      </c>
      <c r="AL28" s="2" t="str">
        <f>IF(OR(Table12211019[[#This Row],[run 1 times]]="",Table12211019[[#This Row],[run2 times]]=""),"",Table12211019[[#This Row],[run 1 times]]+Table12211019[[#This Row],[run2 times]])</f>
        <v/>
      </c>
      <c r="AM28" s="3">
        <f>IF(Table12211019[[#This Row],[total time]]="",999.99,IF(Table12211019[[#This Row],[total time]]=$AQ$3,0,MAX(0,ROUND(((Table12211019[[#This Row],[total time]]-$AQ$3)/$AQ$3)*$AO$6,2))))</f>
        <v>999.99</v>
      </c>
    </row>
    <row r="29" spans="1:39" x14ac:dyDescent="0.3">
      <c r="A29">
        <v>10</v>
      </c>
      <c r="B29">
        <v>33</v>
      </c>
      <c r="C29" t="s">
        <v>257</v>
      </c>
      <c r="D29" t="s">
        <v>480</v>
      </c>
      <c r="E29" t="s">
        <v>710</v>
      </c>
      <c r="F29">
        <v>2015</v>
      </c>
      <c r="G29" s="1">
        <v>7.9733796296296302E-4</v>
      </c>
      <c r="H29" s="1">
        <v>8.3148148148148155E-4</v>
      </c>
      <c r="I29" s="1">
        <v>1.6288194444444442E-3</v>
      </c>
      <c r="K29">
        <v>124078</v>
      </c>
      <c r="L29" s="2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7.9733796296296302E-4</v>
      </c>
      <c r="M29" s="3">
        <f>IF(Table12716[[#This Row],[run 1 times]]="",999.99,IF(Table12716[[#This Row],[run 1 times]]=$S$3,0,MAX(0,ROUND(((Table12716[[#This Row],[run 1 times]]-$S$3)/$S$3)*$S$6,2))))</f>
        <v>356.17</v>
      </c>
      <c r="N29" s="2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8.3148148148148155E-4</v>
      </c>
      <c r="O29" s="3">
        <f>IF(Table12716[[#This Row],[run2 times]]="",999.99,IF(Table12716[[#This Row],[run2 times]]=$T$3,0,MAX(0,ROUND(((Table12716[[#This Row],[run2 times]]-$T$3)/$T$3)*$S$6,2))))</f>
        <v>423.87</v>
      </c>
      <c r="P29" s="2">
        <f>IF(OR(Table12716[[#This Row],[run 1 times]]="",Table12716[[#This Row],[run2 times]]=""),"",Table12716[[#This Row],[run 1 times]]+Table12716[[#This Row],[run2 times]])</f>
        <v>1.6288194444444445E-3</v>
      </c>
      <c r="Q29" s="3">
        <f>IF(Table12716[[#This Row],[total time]]="",999.99,IF(Table12716[[#This Row],[total time]]=$U$3,0,MAX(0,ROUND(((Table12716[[#This Row],[total time]]-$U$3)/$U$3)*$S$6,2))))</f>
        <v>379.91</v>
      </c>
      <c r="W29">
        <v>15</v>
      </c>
      <c r="X29">
        <v>150</v>
      </c>
      <c r="Y29" t="s">
        <v>479</v>
      </c>
      <c r="Z29" t="s">
        <v>547</v>
      </c>
      <c r="AA29" t="s">
        <v>768</v>
      </c>
      <c r="AB29">
        <v>2011</v>
      </c>
      <c r="AC29" s="1" t="s">
        <v>510</v>
      </c>
      <c r="AD29" s="1" t="s">
        <v>510</v>
      </c>
      <c r="AE29" s="1"/>
      <c r="AG29">
        <v>89891</v>
      </c>
      <c r="AH29" s="2" t="str">
        <f>_xlfn.LET(_xlpm.x,Table12211019[[#This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29" s="3">
        <f>IF(Table12211019[[#This Row],[run 1 times]]="",999.99,IF(Table12211019[[#This Row],[run 1 times]]=$AO$3,0,MAX(0,ROUND(((Table12211019[[#This Row],[run 1 times]]-$AO$3)/$AO$3)*$AO$6,2))))</f>
        <v>999.99</v>
      </c>
      <c r="AJ29" s="2" t="str">
        <f>_xlfn.LET(_xlpm.x,Table12211019[[#This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29" s="3">
        <f>IF(Table12211019[[#This Row],[run2 times]]="",999.99,IF(Table12211019[[#This Row],[run2 times]]=$AP$3,0,MAX(0,ROUND(((Table12211019[[#This Row],[run2 times]]-$AP$3)/$AP$3)*$AO$6,2))))</f>
        <v>999.99</v>
      </c>
      <c r="AL29" s="2" t="str">
        <f>IF(OR(Table12211019[[#This Row],[run 1 times]]="",Table12211019[[#This Row],[run2 times]]=""),"",Table12211019[[#This Row],[run 1 times]]+Table12211019[[#This Row],[run2 times]])</f>
        <v/>
      </c>
      <c r="AM29" s="3">
        <f>IF(Table12211019[[#This Row],[total time]]="",999.99,IF(Table12211019[[#This Row],[total time]]=$AQ$3,0,MAX(0,ROUND(((Table12211019[[#This Row],[total time]]-$AQ$3)/$AQ$3)*$AO$6,2))))</f>
        <v>999.99</v>
      </c>
    </row>
    <row r="30" spans="1:39" x14ac:dyDescent="0.3">
      <c r="A30">
        <v>8</v>
      </c>
      <c r="B30">
        <v>31</v>
      </c>
      <c r="C30" t="s">
        <v>24</v>
      </c>
      <c r="D30" t="s">
        <v>522</v>
      </c>
      <c r="E30" t="s">
        <v>685</v>
      </c>
      <c r="F30">
        <v>2012</v>
      </c>
      <c r="G30" s="1" t="s">
        <v>518</v>
      </c>
      <c r="H30" s="1">
        <v>8.4930555555555551E-4</v>
      </c>
      <c r="I30" s="1"/>
      <c r="K30">
        <v>108668</v>
      </c>
      <c r="L30" s="2" t="str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30" s="3">
        <f>IF(Table12716[[#This Row],[run 1 times]]="",999.99,IF(Table12716[[#This Row],[run 1 times]]=$S$3,0,MAX(0,ROUND(((Table12716[[#This Row],[run 1 times]]-$S$3)/$S$3)*$S$6,2))))</f>
        <v>999.99</v>
      </c>
      <c r="N30" s="2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8.4930555555555551E-4</v>
      </c>
      <c r="O30" s="3">
        <f>IF(Table12716[[#This Row],[run2 times]]="",999.99,IF(Table12716[[#This Row],[run2 times]]=$T$3,0,MAX(0,ROUND(((Table12716[[#This Row],[run2 times]]-$T$3)/$T$3)*$S$6,2))))</f>
        <v>448.6</v>
      </c>
      <c r="P30" s="2" t="str">
        <f>IF(OR(Table12716[[#This Row],[run 1 times]]="",Table12716[[#This Row],[run2 times]]=""),"",Table12716[[#This Row],[run 1 times]]+Table12716[[#This Row],[run2 times]])</f>
        <v/>
      </c>
      <c r="Q30" s="3">
        <f>IF(Table12716[[#This Row],[total time]]="",999.99,IF(Table12716[[#This Row],[total time]]=$U$3,0,MAX(0,ROUND(((Table12716[[#This Row],[total time]]-$U$3)/$U$3)*$S$6,2))))</f>
        <v>999.99</v>
      </c>
      <c r="W30">
        <v>18</v>
      </c>
      <c r="X30">
        <v>153</v>
      </c>
      <c r="Y30" t="s">
        <v>257</v>
      </c>
      <c r="Z30" t="s">
        <v>547</v>
      </c>
      <c r="AA30" t="s">
        <v>743</v>
      </c>
      <c r="AB30">
        <v>2011</v>
      </c>
      <c r="AC30" s="1" t="s">
        <v>512</v>
      </c>
      <c r="AD30" s="1" t="s">
        <v>512</v>
      </c>
      <c r="AE30" s="1"/>
      <c r="AG30">
        <v>117685</v>
      </c>
      <c r="AH30" s="2" t="str">
        <f>_xlfn.LET(_xlpm.x,Table12211019[[#This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30" s="3">
        <f>IF(Table12211019[[#This Row],[run 1 times]]="",999.99,IF(Table12211019[[#This Row],[run 1 times]]=$AO$3,0,MAX(0,ROUND(((Table12211019[[#This Row],[run 1 times]]-$AO$3)/$AO$3)*$AO$6,2))))</f>
        <v>999.99</v>
      </c>
      <c r="AJ30" s="2" t="str">
        <f>_xlfn.LET(_xlpm.x,Table12211019[[#This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30" s="3">
        <f>IF(Table12211019[[#This Row],[run2 times]]="",999.99,IF(Table12211019[[#This Row],[run2 times]]=$AP$3,0,MAX(0,ROUND(((Table12211019[[#This Row],[run2 times]]-$AP$3)/$AP$3)*$AO$6,2))))</f>
        <v>999.99</v>
      </c>
      <c r="AL30" s="2" t="str">
        <f>IF(OR(Table12211019[[#This Row],[run 1 times]]="",Table12211019[[#This Row],[run2 times]]=""),"",Table12211019[[#This Row],[run 1 times]]+Table12211019[[#This Row],[run2 times]])</f>
        <v/>
      </c>
      <c r="AM30" s="3">
        <f>IF(Table12211019[[#This Row],[total time]]="",999.99,IF(Table12211019[[#This Row],[total time]]=$AQ$3,0,MAX(0,ROUND(((Table12211019[[#This Row],[total time]]-$AQ$3)/$AQ$3)*$AO$6,2))))</f>
        <v>999.99</v>
      </c>
    </row>
    <row r="31" spans="1:39" x14ac:dyDescent="0.3">
      <c r="A31">
        <v>44</v>
      </c>
      <c r="B31">
        <v>20</v>
      </c>
      <c r="C31" t="s">
        <v>373</v>
      </c>
      <c r="D31" t="s">
        <v>522</v>
      </c>
      <c r="E31" t="s">
        <v>683</v>
      </c>
      <c r="F31">
        <v>2013</v>
      </c>
      <c r="G31" s="1">
        <v>8.5069444444444439E-4</v>
      </c>
      <c r="H31" s="1">
        <v>8.5787037037037038E-4</v>
      </c>
      <c r="I31" s="1">
        <v>1.7085648148148149E-3</v>
      </c>
      <c r="K31">
        <v>107172</v>
      </c>
      <c r="L31" s="2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8.5069444444444439E-4</v>
      </c>
      <c r="M31" s="3">
        <f>IF(Table12716[[#This Row],[run 1 times]]="",999.99,IF(Table12716[[#This Row],[run 1 times]]=$S$3,0,MAX(0,ROUND(((Table12716[[#This Row],[run 1 times]]-$S$3)/$S$3)*$S$6,2))))</f>
        <v>428.86</v>
      </c>
      <c r="N31" s="2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8.5787037037037038E-4</v>
      </c>
      <c r="O31" s="3">
        <f>IF(Table12716[[#This Row],[run2 times]]="",999.99,IF(Table12716[[#This Row],[run2 times]]=$T$3,0,MAX(0,ROUND(((Table12716[[#This Row],[run2 times]]-$T$3)/$T$3)*$S$6,2))))</f>
        <v>460.49</v>
      </c>
      <c r="P31" s="2">
        <f>IF(OR(Table12716[[#This Row],[run 1 times]]="",Table12716[[#This Row],[run2 times]]=""),"",Table12716[[#This Row],[run 1 times]]+Table12716[[#This Row],[run2 times]])</f>
        <v>1.7085648148148147E-3</v>
      </c>
      <c r="Q31" s="3">
        <f>IF(Table12716[[#This Row],[total time]]="",999.99,IF(Table12716[[#This Row],[total time]]=$U$3,0,MAX(0,ROUND(((Table12716[[#This Row],[total time]]-$U$3)/$U$3)*$S$6,2))))</f>
        <v>434.25</v>
      </c>
    </row>
    <row r="32" spans="1:39" x14ac:dyDescent="0.3">
      <c r="A32">
        <v>23</v>
      </c>
      <c r="B32">
        <v>46</v>
      </c>
      <c r="C32" t="s">
        <v>373</v>
      </c>
      <c r="D32" t="s">
        <v>522</v>
      </c>
      <c r="E32" t="s">
        <v>684</v>
      </c>
      <c r="F32">
        <v>2013</v>
      </c>
      <c r="G32" s="1" t="s">
        <v>518</v>
      </c>
      <c r="H32" s="1">
        <v>8.5902777777777778E-4</v>
      </c>
      <c r="I32" s="1"/>
      <c r="K32">
        <v>106162</v>
      </c>
      <c r="L32" s="2" t="str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32" s="3">
        <f>IF(Table12716[[#This Row],[run 1 times]]="",999.99,IF(Table12716[[#This Row],[run 1 times]]=$S$3,0,MAX(0,ROUND(((Table12716[[#This Row],[run 1 times]]-$S$3)/$S$3)*$S$6,2))))</f>
        <v>999.99</v>
      </c>
      <c r="N32" s="2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8.5902777777777778E-4</v>
      </c>
      <c r="O32" s="3">
        <f>IF(Table12716[[#This Row],[run2 times]]="",999.99,IF(Table12716[[#This Row],[run2 times]]=$T$3,0,MAX(0,ROUND(((Table12716[[#This Row],[run2 times]]-$T$3)/$T$3)*$S$6,2))))</f>
        <v>462.09</v>
      </c>
      <c r="P32" s="2" t="str">
        <f>IF(OR(Table12716[[#This Row],[run 1 times]]="",Table12716[[#This Row],[run2 times]]=""),"",Table12716[[#This Row],[run 1 times]]+Table12716[[#This Row],[run2 times]])</f>
        <v/>
      </c>
      <c r="Q32" s="3">
        <f>IF(Table12716[[#This Row],[total time]]="",999.99,IF(Table12716[[#This Row],[total time]]=$U$3,0,MAX(0,ROUND(((Table12716[[#This Row],[total time]]-$U$3)/$U$3)*$S$6,2))))</f>
        <v>999.99</v>
      </c>
    </row>
    <row r="33" spans="1:17" x14ac:dyDescent="0.3">
      <c r="A33">
        <v>5</v>
      </c>
      <c r="B33">
        <v>28</v>
      </c>
      <c r="C33" t="s">
        <v>479</v>
      </c>
      <c r="D33" t="s">
        <v>480</v>
      </c>
      <c r="E33" t="s">
        <v>686</v>
      </c>
      <c r="F33">
        <v>2015</v>
      </c>
      <c r="G33" s="1" t="s">
        <v>512</v>
      </c>
      <c r="H33" s="1">
        <v>8.6215277777777777E-4</v>
      </c>
      <c r="I33" s="1"/>
      <c r="K33">
        <v>116326</v>
      </c>
      <c r="L33" s="2" t="str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33" s="3">
        <f>IF(Table12716[[#This Row],[run 1 times]]="",999.99,IF(Table12716[[#This Row],[run 1 times]]=$S$3,0,MAX(0,ROUND(((Table12716[[#This Row],[run 1 times]]-$S$3)/$S$3)*$S$6,2))))</f>
        <v>999.99</v>
      </c>
      <c r="N33" s="2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8.6215277777777777E-4</v>
      </c>
      <c r="O33" s="3">
        <f>IF(Table12716[[#This Row],[run2 times]]="",999.99,IF(Table12716[[#This Row],[run2 times]]=$T$3,0,MAX(0,ROUND(((Table12716[[#This Row],[run2 times]]-$T$3)/$T$3)*$S$6,2))))</f>
        <v>466.43</v>
      </c>
      <c r="P33" s="2" t="str">
        <f>IF(OR(Table12716[[#This Row],[run 1 times]]="",Table12716[[#This Row],[run2 times]]=""),"",Table12716[[#This Row],[run 1 times]]+Table12716[[#This Row],[run2 times]])</f>
        <v/>
      </c>
      <c r="Q33" s="3">
        <f>IF(Table12716[[#This Row],[total time]]="",999.99,IF(Table12716[[#This Row],[total time]]=$U$3,0,MAX(0,ROUND(((Table12716[[#This Row],[total time]]-$U$3)/$U$3)*$S$6,2))))</f>
        <v>999.99</v>
      </c>
    </row>
    <row r="34" spans="1:17" x14ac:dyDescent="0.3">
      <c r="A34">
        <v>43</v>
      </c>
      <c r="B34">
        <v>19</v>
      </c>
      <c r="C34" t="s">
        <v>487</v>
      </c>
      <c r="D34" t="s">
        <v>480</v>
      </c>
      <c r="E34" t="s">
        <v>701</v>
      </c>
      <c r="F34">
        <v>2015</v>
      </c>
      <c r="G34" s="1">
        <v>8.4201388888888889E-4</v>
      </c>
      <c r="H34" s="1">
        <v>8.7129629629629634E-4</v>
      </c>
      <c r="I34" s="1">
        <v>1.7133101851851851E-3</v>
      </c>
      <c r="K34">
        <v>122281</v>
      </c>
      <c r="L34" s="2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8.4201388888888889E-4</v>
      </c>
      <c r="M34" s="3">
        <f>IF(Table12716[[#This Row],[run 1 times]]="",999.99,IF(Table12716[[#This Row],[run 1 times]]=$S$3,0,MAX(0,ROUND(((Table12716[[#This Row],[run 1 times]]-$S$3)/$S$3)*$S$6,2))))</f>
        <v>417.03</v>
      </c>
      <c r="N34" s="2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8.7129629629629634E-4</v>
      </c>
      <c r="O34" s="3">
        <f>IF(Table12716[[#This Row],[run2 times]]="",999.99,IF(Table12716[[#This Row],[run2 times]]=$T$3,0,MAX(0,ROUND(((Table12716[[#This Row],[run2 times]]-$T$3)/$T$3)*$S$6,2))))</f>
        <v>479.12</v>
      </c>
      <c r="P34" s="2">
        <f>IF(OR(Table12716[[#This Row],[run 1 times]]="",Table12716[[#This Row],[run2 times]]=""),"",Table12716[[#This Row],[run 1 times]]+Table12716[[#This Row],[run2 times]])</f>
        <v>1.7133101851851853E-3</v>
      </c>
      <c r="Q34" s="3">
        <f>IF(Table12716[[#This Row],[total time]]="",999.99,IF(Table12716[[#This Row],[total time]]=$U$3,0,MAX(0,ROUND(((Table12716[[#This Row],[total time]]-$U$3)/$U$3)*$S$6,2))))</f>
        <v>437.48</v>
      </c>
    </row>
    <row r="35" spans="1:17" x14ac:dyDescent="0.3">
      <c r="A35">
        <v>22</v>
      </c>
      <c r="B35">
        <v>45</v>
      </c>
      <c r="C35" t="s">
        <v>373</v>
      </c>
      <c r="D35" t="s">
        <v>480</v>
      </c>
      <c r="E35" t="s">
        <v>687</v>
      </c>
      <c r="F35">
        <v>2015</v>
      </c>
      <c r="G35" s="1">
        <v>9.5150462962962973E-4</v>
      </c>
      <c r="H35" s="1">
        <v>9.453703703703704E-4</v>
      </c>
      <c r="I35" s="1">
        <v>1.8968749999999999E-3</v>
      </c>
      <c r="K35">
        <v>119094</v>
      </c>
      <c r="L35" s="2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9.5150462962962973E-4</v>
      </c>
      <c r="M35" s="3">
        <f>IF(Table12716[[#This Row],[run 1 times]]="",999.99,IF(Table12716[[#This Row],[run 1 times]]=$S$3,0,MAX(0,ROUND(((Table12716[[#This Row],[run 1 times]]-$S$3)/$S$3)*$S$6,2))))</f>
        <v>566.17999999999995</v>
      </c>
      <c r="N35" s="2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9.453703703703704E-4</v>
      </c>
      <c r="O35" s="3">
        <f>IF(Table12716[[#This Row],[run2 times]]="",999.99,IF(Table12716[[#This Row],[run2 times]]=$T$3,0,MAX(0,ROUND(((Table12716[[#This Row],[run2 times]]-$T$3)/$T$3)*$S$6,2))))</f>
        <v>581.91</v>
      </c>
      <c r="P35" s="2">
        <f>IF(OR(Table12716[[#This Row],[run 1 times]]="",Table12716[[#This Row],[run2 times]]=""),"",Table12716[[#This Row],[run 1 times]]+Table12716[[#This Row],[run2 times]])</f>
        <v>1.8968750000000001E-3</v>
      </c>
      <c r="Q35" s="3">
        <f>IF(Table12716[[#This Row],[total time]]="",999.99,IF(Table12716[[#This Row],[total time]]=$U$3,0,MAX(0,ROUND(((Table12716[[#This Row],[total time]]-$U$3)/$U$3)*$S$6,2))))</f>
        <v>562.55999999999995</v>
      </c>
    </row>
    <row r="36" spans="1:17" x14ac:dyDescent="0.3">
      <c r="A36">
        <v>14</v>
      </c>
      <c r="B36">
        <v>37</v>
      </c>
      <c r="C36" t="s">
        <v>487</v>
      </c>
      <c r="D36" t="s">
        <v>480</v>
      </c>
      <c r="E36" t="s">
        <v>695</v>
      </c>
      <c r="F36">
        <v>2014</v>
      </c>
      <c r="G36" s="1">
        <v>9.1701388888888898E-4</v>
      </c>
      <c r="H36" s="1">
        <v>9.7187499999999997E-4</v>
      </c>
      <c r="I36" s="1">
        <v>1.8888888888888887E-3</v>
      </c>
      <c r="K36">
        <v>125969</v>
      </c>
      <c r="L36" s="2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9.1701388888888898E-4</v>
      </c>
      <c r="M36" s="3">
        <f>IF(Table12716[[#This Row],[run 1 times]]="",999.99,IF(Table12716[[#This Row],[run 1 times]]=$S$3,0,MAX(0,ROUND(((Table12716[[#This Row],[run 1 times]]-$S$3)/$S$3)*$S$6,2))))</f>
        <v>519.20000000000005</v>
      </c>
      <c r="N36" s="2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9.7187499999999997E-4</v>
      </c>
      <c r="O36" s="3">
        <f>IF(Table12716[[#This Row],[run2 times]]="",999.99,IF(Table12716[[#This Row],[run2 times]]=$T$3,0,MAX(0,ROUND(((Table12716[[#This Row],[run2 times]]-$T$3)/$T$3)*$S$6,2))))</f>
        <v>618.69000000000005</v>
      </c>
      <c r="P36" s="2">
        <f>IF(OR(Table12716[[#This Row],[run 1 times]]="",Table12716[[#This Row],[run2 times]]=""),"",Table12716[[#This Row],[run 1 times]]+Table12716[[#This Row],[run2 times]])</f>
        <v>1.888888888888889E-3</v>
      </c>
      <c r="Q36" s="3">
        <f>IF(Table12716[[#This Row],[total time]]="",999.99,IF(Table12716[[#This Row],[total time]]=$U$3,0,MAX(0,ROUND(((Table12716[[#This Row],[total time]]-$U$3)/$U$3)*$S$6,2))))</f>
        <v>557.12</v>
      </c>
    </row>
    <row r="37" spans="1:17" x14ac:dyDescent="0.3">
      <c r="A37">
        <v>4</v>
      </c>
      <c r="B37">
        <v>27</v>
      </c>
      <c r="C37" t="s">
        <v>257</v>
      </c>
      <c r="D37" t="s">
        <v>480</v>
      </c>
      <c r="E37" t="s">
        <v>689</v>
      </c>
      <c r="F37">
        <v>2015</v>
      </c>
      <c r="G37" s="1">
        <v>1.0010416666666666E-3</v>
      </c>
      <c r="H37" s="1">
        <v>1.0031250000000001E-3</v>
      </c>
      <c r="I37" s="1">
        <v>2.0041666666666667E-3</v>
      </c>
      <c r="K37">
        <v>124075</v>
      </c>
      <c r="L37" s="2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1.0010416666666666E-3</v>
      </c>
      <c r="M37" s="3">
        <f>IF(Table12716[[#This Row],[run 1 times]]="",999.99,IF(Table12716[[#This Row],[run 1 times]]=$S$3,0,MAX(0,ROUND(((Table12716[[#This Row],[run 1 times]]-$S$3)/$S$3)*$S$6,2))))</f>
        <v>633.66999999999996</v>
      </c>
      <c r="N37" s="2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1.0031250000000001E-3</v>
      </c>
      <c r="O37" s="3">
        <f>IF(Table12716[[#This Row],[run2 times]]="",999.99,IF(Table12716[[#This Row],[run2 times]]=$T$3,0,MAX(0,ROUND(((Table12716[[#This Row],[run2 times]]-$T$3)/$T$3)*$S$6,2))))</f>
        <v>662.06</v>
      </c>
      <c r="P37" s="2">
        <f>IF(OR(Table12716[[#This Row],[run 1 times]]="",Table12716[[#This Row],[run2 times]]=""),"",Table12716[[#This Row],[run 1 times]]+Table12716[[#This Row],[run2 times]])</f>
        <v>2.0041666666666667E-3</v>
      </c>
      <c r="Q37" s="3">
        <f>IF(Table12716[[#This Row],[total time]]="",999.99,IF(Table12716[[#This Row],[total time]]=$U$3,0,MAX(0,ROUND(((Table12716[[#This Row],[total time]]-$U$3)/$U$3)*$S$6,2))))</f>
        <v>635.66999999999996</v>
      </c>
    </row>
    <row r="38" spans="1:17" x14ac:dyDescent="0.3">
      <c r="A38">
        <v>28</v>
      </c>
      <c r="B38">
        <v>4</v>
      </c>
      <c r="C38" t="s">
        <v>257</v>
      </c>
      <c r="D38" t="s">
        <v>480</v>
      </c>
      <c r="E38" t="s">
        <v>688</v>
      </c>
      <c r="F38">
        <v>2015</v>
      </c>
      <c r="G38" s="1">
        <v>9.9131944444444441E-4</v>
      </c>
      <c r="H38" s="1">
        <v>1.0193287037037037E-3</v>
      </c>
      <c r="I38" s="1">
        <v>2.0106481481481481E-3</v>
      </c>
      <c r="K38">
        <v>124079</v>
      </c>
      <c r="L38" s="2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9.9131944444444441E-4</v>
      </c>
      <c r="M38" s="3">
        <f>IF(Table12716[[#This Row],[run 1 times]]="",999.99,IF(Table12716[[#This Row],[run 1 times]]=$S$3,0,MAX(0,ROUND(((Table12716[[#This Row],[run 1 times]]-$S$3)/$S$3)*$S$6,2))))</f>
        <v>620.41999999999996</v>
      </c>
      <c r="N38" s="2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1.0193287037037037E-3</v>
      </c>
      <c r="O38" s="3">
        <f>IF(Table12716[[#This Row],[run2 times]]="",999.99,IF(Table12716[[#This Row],[run2 times]]=$T$3,0,MAX(0,ROUND(((Table12716[[#This Row],[run2 times]]-$T$3)/$T$3)*$S$6,2))))</f>
        <v>684.55</v>
      </c>
      <c r="P38" s="2">
        <f>IF(OR(Table12716[[#This Row],[run 1 times]]="",Table12716[[#This Row],[run2 times]]=""),"",Table12716[[#This Row],[run 1 times]]+Table12716[[#This Row],[run2 times]])</f>
        <v>2.0106481481481481E-3</v>
      </c>
      <c r="Q38" s="3">
        <f>IF(Table12716[[#This Row],[total time]]="",999.99,IF(Table12716[[#This Row],[total time]]=$U$3,0,MAX(0,ROUND(((Table12716[[#This Row],[total time]]-$U$3)/$U$3)*$S$6,2))))</f>
        <v>640.09</v>
      </c>
    </row>
    <row r="39" spans="1:17" x14ac:dyDescent="0.3">
      <c r="A39">
        <v>47</v>
      </c>
      <c r="B39">
        <v>23</v>
      </c>
      <c r="C39" t="s">
        <v>487</v>
      </c>
      <c r="D39" t="s">
        <v>480</v>
      </c>
      <c r="E39" t="s">
        <v>711</v>
      </c>
      <c r="F39">
        <v>2015</v>
      </c>
      <c r="G39" s="1" t="s">
        <v>512</v>
      </c>
      <c r="H39" s="1">
        <v>1.0335648148148148E-3</v>
      </c>
      <c r="I39" s="1"/>
      <c r="K39">
        <v>125354</v>
      </c>
      <c r="L39" s="2" t="str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39" s="3">
        <f>IF(Table12716[[#This Row],[run 1 times]]="",999.99,IF(Table12716[[#This Row],[run 1 times]]=$S$3,0,MAX(0,ROUND(((Table12716[[#This Row],[run 1 times]]-$S$3)/$S$3)*$S$6,2))))</f>
        <v>999.99</v>
      </c>
      <c r="N39" s="2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1.0335648148148148E-3</v>
      </c>
      <c r="O39" s="3">
        <f>IF(Table12716[[#This Row],[run2 times]]="",999.99,IF(Table12716[[#This Row],[run2 times]]=$T$3,0,MAX(0,ROUND(((Table12716[[#This Row],[run2 times]]-$T$3)/$T$3)*$S$6,2))))</f>
        <v>704.3</v>
      </c>
      <c r="P39" s="2" t="str">
        <f>IF(OR(Table12716[[#This Row],[run 1 times]]="",Table12716[[#This Row],[run2 times]]=""),"",Table12716[[#This Row],[run 1 times]]+Table12716[[#This Row],[run2 times]])</f>
        <v/>
      </c>
      <c r="Q39" s="3">
        <f>IF(Table12716[[#This Row],[total time]]="",999.99,IF(Table12716[[#This Row],[total time]]=$U$3,0,MAX(0,ROUND(((Table12716[[#This Row],[total time]]-$U$3)/$U$3)*$S$6,2))))</f>
        <v>999.99</v>
      </c>
    </row>
    <row r="40" spans="1:17" x14ac:dyDescent="0.3">
      <c r="A40">
        <v>30</v>
      </c>
      <c r="B40">
        <v>6</v>
      </c>
      <c r="C40" t="s">
        <v>24</v>
      </c>
      <c r="D40" t="s">
        <v>480</v>
      </c>
      <c r="E40" t="s">
        <v>713</v>
      </c>
      <c r="F40">
        <v>2015</v>
      </c>
      <c r="G40" s="1">
        <v>1.062962962962963E-3</v>
      </c>
      <c r="H40" s="1">
        <v>1.0483796296296296E-3</v>
      </c>
      <c r="I40" s="1">
        <v>2.1113425925925926E-3</v>
      </c>
      <c r="K40">
        <v>109922</v>
      </c>
      <c r="L40" s="2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1.062962962962963E-3</v>
      </c>
      <c r="M40" s="3">
        <f>IF(Table12716[[#This Row],[run 1 times]]="",999.99,IF(Table12716[[#This Row],[run 1 times]]=$S$3,0,MAX(0,ROUND(((Table12716[[#This Row],[run 1 times]]-$S$3)/$S$3)*$S$6,2))))</f>
        <v>718.02</v>
      </c>
      <c r="N40" s="2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1.0483796296296296E-3</v>
      </c>
      <c r="O40" s="3">
        <f>IF(Table12716[[#This Row],[run2 times]]="",999.99,IF(Table12716[[#This Row],[run2 times]]=$T$3,0,MAX(0,ROUND(((Table12716[[#This Row],[run2 times]]-$T$3)/$T$3)*$S$6,2))))</f>
        <v>724.86</v>
      </c>
      <c r="P40" s="2">
        <f>IF(OR(Table12716[[#This Row],[run 1 times]]="",Table12716[[#This Row],[run2 times]]=""),"",Table12716[[#This Row],[run 1 times]]+Table12716[[#This Row],[run2 times]])</f>
        <v>2.1113425925925926E-3</v>
      </c>
      <c r="Q40" s="3">
        <f>IF(Table12716[[#This Row],[total time]]="",999.99,IF(Table12716[[#This Row],[total time]]=$U$3,0,MAX(0,ROUND(((Table12716[[#This Row],[total time]]-$U$3)/$U$3)*$S$6,2))))</f>
        <v>708.71</v>
      </c>
    </row>
    <row r="41" spans="1:17" x14ac:dyDescent="0.3">
      <c r="A41">
        <v>29</v>
      </c>
      <c r="B41">
        <v>5</v>
      </c>
      <c r="C41" t="s">
        <v>24</v>
      </c>
      <c r="D41" t="s">
        <v>480</v>
      </c>
      <c r="E41" t="s">
        <v>690</v>
      </c>
      <c r="F41">
        <v>2015</v>
      </c>
      <c r="G41" s="1">
        <v>1.1093749999999999E-3</v>
      </c>
      <c r="H41" s="1">
        <v>1.0526620370370371E-3</v>
      </c>
      <c r="I41" s="1">
        <v>2.162037037037037E-3</v>
      </c>
      <c r="K41">
        <v>109933</v>
      </c>
      <c r="L41" s="2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1.1093749999999999E-3</v>
      </c>
      <c r="M41" s="3">
        <f>IF(Table12716[[#This Row],[run 1 times]]="",999.99,IF(Table12716[[#This Row],[run 1 times]]=$S$3,0,MAX(0,ROUND(((Table12716[[#This Row],[run 1 times]]-$S$3)/$S$3)*$S$6,2))))</f>
        <v>781.24</v>
      </c>
      <c r="N41" s="2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1.0526620370370371E-3</v>
      </c>
      <c r="O41" s="3">
        <f>IF(Table12716[[#This Row],[run2 times]]="",999.99,IF(Table12716[[#This Row],[run2 times]]=$T$3,0,MAX(0,ROUND(((Table12716[[#This Row],[run2 times]]-$T$3)/$T$3)*$S$6,2))))</f>
        <v>730.8</v>
      </c>
      <c r="P41" s="2">
        <f>IF(OR(Table12716[[#This Row],[run 1 times]]="",Table12716[[#This Row],[run2 times]]=""),"",Table12716[[#This Row],[run 1 times]]+Table12716[[#This Row],[run2 times]])</f>
        <v>2.162037037037037E-3</v>
      </c>
      <c r="Q41" s="3">
        <f>IF(Table12716[[#This Row],[total time]]="",999.99,IF(Table12716[[#This Row],[total time]]=$U$3,0,MAX(0,ROUND(((Table12716[[#This Row],[total time]]-$U$3)/$U$3)*$S$6,2))))</f>
        <v>743.25</v>
      </c>
    </row>
    <row r="42" spans="1:17" x14ac:dyDescent="0.3">
      <c r="A42">
        <v>38</v>
      </c>
      <c r="B42">
        <v>14</v>
      </c>
      <c r="C42" t="s">
        <v>487</v>
      </c>
      <c r="D42" t="s">
        <v>522</v>
      </c>
      <c r="E42" t="s">
        <v>704</v>
      </c>
      <c r="F42">
        <v>2013</v>
      </c>
      <c r="G42" s="1" t="s">
        <v>510</v>
      </c>
      <c r="H42" s="1" t="s">
        <v>510</v>
      </c>
      <c r="I42" s="1"/>
      <c r="K42">
        <v>109532</v>
      </c>
      <c r="L42" s="2" t="str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42" s="3">
        <f>IF(Table12716[[#This Row],[run 1 times]]="",999.99,IF(Table12716[[#This Row],[run 1 times]]=$S$3,0,MAX(0,ROUND(((Table12716[[#This Row],[run 1 times]]-$S$3)/$S$3)*$S$6,2))))</f>
        <v>999.99</v>
      </c>
      <c r="N42" s="2" t="str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42" s="3">
        <f>IF(Table12716[[#This Row],[run2 times]]="",999.99,IF(Table12716[[#This Row],[run2 times]]=$T$3,0,MAX(0,ROUND(((Table12716[[#This Row],[run2 times]]-$T$3)/$T$3)*$S$6,2))))</f>
        <v>999.99</v>
      </c>
      <c r="P42" s="2" t="str">
        <f>IF(OR(Table12716[[#This Row],[run 1 times]]="",Table12716[[#This Row],[run2 times]]=""),"",Table12716[[#This Row],[run 1 times]]+Table12716[[#This Row],[run2 times]])</f>
        <v/>
      </c>
      <c r="Q42" s="3">
        <f>IF(Table12716[[#This Row],[total time]]="",999.99,IF(Table12716[[#This Row],[total time]]=$U$3,0,MAX(0,ROUND(((Table12716[[#This Row],[total time]]-$U$3)/$U$3)*$S$6,2))))</f>
        <v>999.99</v>
      </c>
    </row>
    <row r="43" spans="1:17" x14ac:dyDescent="0.3">
      <c r="A43">
        <v>36</v>
      </c>
      <c r="B43">
        <v>12</v>
      </c>
      <c r="C43" t="s">
        <v>487</v>
      </c>
      <c r="D43" t="s">
        <v>522</v>
      </c>
      <c r="E43" t="s">
        <v>705</v>
      </c>
      <c r="F43">
        <v>2012</v>
      </c>
      <c r="G43" s="1">
        <v>52.87</v>
      </c>
      <c r="H43" s="1" t="s">
        <v>512</v>
      </c>
      <c r="I43" s="1"/>
      <c r="K43">
        <v>121018</v>
      </c>
      <c r="L43" s="2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6.1192129629629628E-4</v>
      </c>
      <c r="M43" s="3">
        <f>IF(Table12716[[#This Row],[run 1 times]]="",999.99,IF(Table12716[[#This Row],[run 1 times]]=$S$3,0,MAX(0,ROUND(((Table12716[[#This Row],[run 1 times]]-$S$3)/$S$3)*$S$6,2))))</f>
        <v>103.59</v>
      </c>
      <c r="N43" s="2" t="str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43" s="3">
        <f>IF(Table12716[[#This Row],[run2 times]]="",999.99,IF(Table12716[[#This Row],[run2 times]]=$T$3,0,MAX(0,ROUND(((Table12716[[#This Row],[run2 times]]-$T$3)/$T$3)*$S$6,2))))</f>
        <v>999.99</v>
      </c>
      <c r="P43" s="2" t="str">
        <f>IF(OR(Table12716[[#This Row],[run 1 times]]="",Table12716[[#This Row],[run2 times]]=""),"",Table12716[[#This Row],[run 1 times]]+Table12716[[#This Row],[run2 times]])</f>
        <v/>
      </c>
      <c r="Q43" s="3">
        <f>IF(Table12716[[#This Row],[total time]]="",999.99,IF(Table12716[[#This Row],[total time]]=$U$3,0,MAX(0,ROUND(((Table12716[[#This Row],[total time]]-$U$3)/$U$3)*$S$6,2))))</f>
        <v>999.99</v>
      </c>
    </row>
    <row r="44" spans="1:17" x14ac:dyDescent="0.3">
      <c r="A44">
        <v>34</v>
      </c>
      <c r="B44">
        <v>10</v>
      </c>
      <c r="C44" t="s">
        <v>487</v>
      </c>
      <c r="D44" t="s">
        <v>480</v>
      </c>
      <c r="E44" t="s">
        <v>706</v>
      </c>
      <c r="F44">
        <v>2014</v>
      </c>
      <c r="G44" s="1" t="s">
        <v>512</v>
      </c>
      <c r="H44" s="1" t="s">
        <v>512</v>
      </c>
      <c r="I44" s="1"/>
      <c r="K44">
        <v>112955</v>
      </c>
      <c r="L44" s="2" t="str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44" s="3">
        <f>IF(Table12716[[#This Row],[run 1 times]]="",999.99,IF(Table12716[[#This Row],[run 1 times]]=$S$3,0,MAX(0,ROUND(((Table12716[[#This Row],[run 1 times]]-$S$3)/$S$3)*$S$6,2))))</f>
        <v>999.99</v>
      </c>
      <c r="N44" s="2" t="str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44" s="3">
        <f>IF(Table12716[[#This Row],[run2 times]]="",999.99,IF(Table12716[[#This Row],[run2 times]]=$T$3,0,MAX(0,ROUND(((Table12716[[#This Row],[run2 times]]-$T$3)/$T$3)*$S$6,2))))</f>
        <v>999.99</v>
      </c>
      <c r="P44" s="2" t="str">
        <f>IF(OR(Table12716[[#This Row],[run 1 times]]="",Table12716[[#This Row],[run2 times]]=""),"",Table12716[[#This Row],[run 1 times]]+Table12716[[#This Row],[run2 times]])</f>
        <v/>
      </c>
      <c r="Q44" s="3">
        <f>IF(Table12716[[#This Row],[total time]]="",999.99,IF(Table12716[[#This Row],[total time]]=$U$3,0,MAX(0,ROUND(((Table12716[[#This Row],[total time]]-$U$3)/$U$3)*$S$6,2))))</f>
        <v>999.99</v>
      </c>
    </row>
    <row r="45" spans="1:17" x14ac:dyDescent="0.3">
      <c r="A45">
        <v>26</v>
      </c>
      <c r="B45">
        <v>2</v>
      </c>
      <c r="C45" t="s">
        <v>487</v>
      </c>
      <c r="D45" t="s">
        <v>522</v>
      </c>
      <c r="E45" t="s">
        <v>714</v>
      </c>
      <c r="F45">
        <v>2013</v>
      </c>
      <c r="G45" s="1">
        <v>51.82</v>
      </c>
      <c r="H45" s="1" t="s">
        <v>512</v>
      </c>
      <c r="I45" s="1"/>
      <c r="K45">
        <v>109533</v>
      </c>
      <c r="L45" s="2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5.9976851851851858E-4</v>
      </c>
      <c r="M45" s="3">
        <f>IF(Table12716[[#This Row],[run 1 times]]="",999.99,IF(Table12716[[#This Row],[run 1 times]]=$S$3,0,MAX(0,ROUND(((Table12716[[#This Row],[run 1 times]]-$S$3)/$S$3)*$S$6,2))))</f>
        <v>87.03</v>
      </c>
      <c r="N45" s="2" t="str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45" s="3">
        <f>IF(Table12716[[#This Row],[run2 times]]="",999.99,IF(Table12716[[#This Row],[run2 times]]=$T$3,0,MAX(0,ROUND(((Table12716[[#This Row],[run2 times]]-$T$3)/$T$3)*$S$6,2))))</f>
        <v>999.99</v>
      </c>
      <c r="P45" s="2" t="str">
        <f>IF(OR(Table12716[[#This Row],[run 1 times]]="",Table12716[[#This Row],[run2 times]]=""),"",Table12716[[#This Row],[run 1 times]]+Table12716[[#This Row],[run2 times]])</f>
        <v/>
      </c>
      <c r="Q45" s="3">
        <f>IF(Table12716[[#This Row],[total time]]="",999.99,IF(Table12716[[#This Row],[total time]]=$U$3,0,MAX(0,ROUND(((Table12716[[#This Row],[total time]]-$U$3)/$U$3)*$S$6,2))))</f>
        <v>999.99</v>
      </c>
    </row>
    <row r="46" spans="1:17" x14ac:dyDescent="0.3">
      <c r="A46">
        <v>21</v>
      </c>
      <c r="B46">
        <v>44</v>
      </c>
      <c r="C46" t="s">
        <v>257</v>
      </c>
      <c r="D46" t="s">
        <v>480</v>
      </c>
      <c r="E46" t="s">
        <v>680</v>
      </c>
      <c r="F46">
        <v>2015</v>
      </c>
      <c r="G46" s="1" t="s">
        <v>512</v>
      </c>
      <c r="H46" s="1" t="s">
        <v>512</v>
      </c>
      <c r="I46" s="1"/>
      <c r="K46">
        <v>120661</v>
      </c>
      <c r="L46" s="2" t="str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46" s="3">
        <f>IF(Table12716[[#This Row],[run 1 times]]="",999.99,IF(Table12716[[#This Row],[run 1 times]]=$S$3,0,MAX(0,ROUND(((Table12716[[#This Row],[run 1 times]]-$S$3)/$S$3)*$S$6,2))))</f>
        <v>999.99</v>
      </c>
      <c r="N46" s="2" t="str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46" s="3">
        <f>IF(Table12716[[#This Row],[run2 times]]="",999.99,IF(Table12716[[#This Row],[run2 times]]=$T$3,0,MAX(0,ROUND(((Table12716[[#This Row],[run2 times]]-$T$3)/$T$3)*$S$6,2))))</f>
        <v>999.99</v>
      </c>
      <c r="P46" s="2" t="str">
        <f>IF(OR(Table12716[[#This Row],[run 1 times]]="",Table12716[[#This Row],[run2 times]]=""),"",Table12716[[#This Row],[run 1 times]]+Table12716[[#This Row],[run2 times]])</f>
        <v/>
      </c>
      <c r="Q46" s="3">
        <f>IF(Table12716[[#This Row],[total time]]="",999.99,IF(Table12716[[#This Row],[total time]]=$U$3,0,MAX(0,ROUND(((Table12716[[#This Row],[total time]]-$U$3)/$U$3)*$S$6,2))))</f>
        <v>999.99</v>
      </c>
    </row>
    <row r="47" spans="1:17" x14ac:dyDescent="0.3">
      <c r="A47">
        <v>18</v>
      </c>
      <c r="B47">
        <v>41</v>
      </c>
      <c r="C47" t="s">
        <v>223</v>
      </c>
      <c r="D47" t="s">
        <v>522</v>
      </c>
      <c r="E47" t="s">
        <v>672</v>
      </c>
      <c r="F47">
        <v>2013</v>
      </c>
      <c r="G47" s="1">
        <v>51.81</v>
      </c>
      <c r="H47" s="1" t="s">
        <v>512</v>
      </c>
      <c r="I47" s="1"/>
      <c r="K47">
        <v>105181</v>
      </c>
      <c r="L47" s="2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5.9965277777777784E-4</v>
      </c>
      <c r="M47" s="3">
        <f>IF(Table12716[[#This Row],[run 1 times]]="",999.99,IF(Table12716[[#This Row],[run 1 times]]=$S$3,0,MAX(0,ROUND(((Table12716[[#This Row],[run 1 times]]-$S$3)/$S$3)*$S$6,2))))</f>
        <v>86.87</v>
      </c>
      <c r="N47" s="2" t="str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47" s="3">
        <f>IF(Table12716[[#This Row],[run2 times]]="",999.99,IF(Table12716[[#This Row],[run2 times]]=$T$3,0,MAX(0,ROUND(((Table12716[[#This Row],[run2 times]]-$T$3)/$T$3)*$S$6,2))))</f>
        <v>999.99</v>
      </c>
      <c r="P47" s="2" t="str">
        <f>IF(OR(Table12716[[#This Row],[run 1 times]]="",Table12716[[#This Row],[run2 times]]=""),"",Table12716[[#This Row],[run 1 times]]+Table12716[[#This Row],[run2 times]])</f>
        <v/>
      </c>
      <c r="Q47" s="3">
        <f>IF(Table12716[[#This Row],[total time]]="",999.99,IF(Table12716[[#This Row],[total time]]=$U$3,0,MAX(0,ROUND(((Table12716[[#This Row],[total time]]-$U$3)/$U$3)*$S$6,2))))</f>
        <v>999.99</v>
      </c>
    </row>
    <row r="48" spans="1:17" x14ac:dyDescent="0.3">
      <c r="A48">
        <v>11</v>
      </c>
      <c r="B48">
        <v>34</v>
      </c>
      <c r="C48" t="s">
        <v>479</v>
      </c>
      <c r="D48" t="s">
        <v>522</v>
      </c>
      <c r="E48" t="s">
        <v>678</v>
      </c>
      <c r="F48">
        <v>2012</v>
      </c>
      <c r="G48" s="1">
        <v>53.92</v>
      </c>
      <c r="H48" s="1" t="s">
        <v>512</v>
      </c>
      <c r="I48" s="1"/>
      <c r="K48">
        <v>108194</v>
      </c>
      <c r="L48" s="2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6.2407407407407409E-4</v>
      </c>
      <c r="M48" s="3">
        <f>IF(Table12716[[#This Row],[run 1 times]]="",999.99,IF(Table12716[[#This Row],[run 1 times]]=$S$3,0,MAX(0,ROUND(((Table12716[[#This Row],[run 1 times]]-$S$3)/$S$3)*$S$6,2))))</f>
        <v>120.14</v>
      </c>
      <c r="N48" s="2" t="str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48" s="3">
        <f>IF(Table12716[[#This Row],[run2 times]]="",999.99,IF(Table12716[[#This Row],[run2 times]]=$T$3,0,MAX(0,ROUND(((Table12716[[#This Row],[run2 times]]-$T$3)/$T$3)*$S$6,2))))</f>
        <v>999.99</v>
      </c>
      <c r="P48" s="2" t="str">
        <f>IF(OR(Table12716[[#This Row],[run 1 times]]="",Table12716[[#This Row],[run2 times]]=""),"",Table12716[[#This Row],[run 1 times]]+Table12716[[#This Row],[run2 times]])</f>
        <v/>
      </c>
      <c r="Q48" s="3">
        <f>IF(Table12716[[#This Row],[total time]]="",999.99,IF(Table12716[[#This Row],[total time]]=$U$3,0,MAX(0,ROUND(((Table12716[[#This Row],[total time]]-$U$3)/$U$3)*$S$6,2))))</f>
        <v>999.99</v>
      </c>
    </row>
    <row r="49" spans="1:17" x14ac:dyDescent="0.3">
      <c r="A49">
        <v>2</v>
      </c>
      <c r="B49">
        <v>25</v>
      </c>
      <c r="C49" t="s">
        <v>487</v>
      </c>
      <c r="D49" t="s">
        <v>522</v>
      </c>
      <c r="E49" t="s">
        <v>699</v>
      </c>
      <c r="F49">
        <v>2012</v>
      </c>
      <c r="G49" s="1">
        <v>57.31</v>
      </c>
      <c r="H49" s="1" t="s">
        <v>512</v>
      </c>
      <c r="I49" s="1"/>
      <c r="K49">
        <v>102437</v>
      </c>
      <c r="L49" s="2">
        <f>_xlfn.LET(_xlpm.x,Table12716[[#This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6.6331018518518518E-4</v>
      </c>
      <c r="M49" s="3">
        <f>IF(Table12716[[#This Row],[run 1 times]]="",999.99,IF(Table12716[[#This Row],[run 1 times]]=$S$3,0,MAX(0,ROUND(((Table12716[[#This Row],[run 1 times]]-$S$3)/$S$3)*$S$6,2))))</f>
        <v>173.59</v>
      </c>
      <c r="N49" s="2" t="str">
        <f>_xlfn.LET(_xlpm.x,Table12716[[#This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49" s="3">
        <f>IF(Table12716[[#This Row],[run2 times]]="",999.99,IF(Table12716[[#This Row],[run2 times]]=$T$3,0,MAX(0,ROUND(((Table12716[[#This Row],[run2 times]]-$T$3)/$T$3)*$S$6,2))))</f>
        <v>999.99</v>
      </c>
      <c r="P49" s="2" t="str">
        <f>IF(OR(Table12716[[#This Row],[run 1 times]]="",Table12716[[#This Row],[run2 times]]=""),"",Table12716[[#This Row],[run 1 times]]+Table12716[[#This Row],[run2 times]])</f>
        <v/>
      </c>
      <c r="Q49" s="3">
        <f>IF(Table12716[[#This Row],[total time]]="",999.99,IF(Table12716[[#This Row],[total time]]=$U$3,0,MAX(0,ROUND(((Table12716[[#This Row],[total time]]-$U$3)/$U$3)*$S$6,2))))</f>
        <v>999.99</v>
      </c>
    </row>
  </sheetData>
  <mergeCells count="2">
    <mergeCell ref="A1:U1"/>
    <mergeCell ref="W1:AQ1"/>
  </mergeCells>
  <pageMargins left="0.7" right="0.7" top="0.75" bottom="0.75" header="0.3" footer="0.3"/>
  <tableParts count="6">
    <tablePart r:id="rId1"/>
    <tablePart r:id="rId2"/>
    <tablePart r:id="rId3"/>
    <tablePart r:id="rId4"/>
    <tablePart r:id="rId5"/>
    <tablePart r:id="rId6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7B1CE8-1567-4E39-9475-74C93851D103}">
  <dimension ref="A1:AI56"/>
  <sheetViews>
    <sheetView workbookViewId="0">
      <selection activeCell="I11" sqref="I11"/>
    </sheetView>
  </sheetViews>
  <sheetFormatPr defaultRowHeight="14.4" x14ac:dyDescent="0.3"/>
  <cols>
    <col min="1" max="1" width="13.5546875" customWidth="1"/>
    <col min="3" max="3" width="12.109375" customWidth="1"/>
    <col min="5" max="5" width="14.88671875" bestFit="1" customWidth="1"/>
    <col min="6" max="6" width="12.5546875" customWidth="1"/>
    <col min="7" max="7" width="15.21875" customWidth="1"/>
    <col min="8" max="8" width="17.6640625" customWidth="1"/>
    <col min="9" max="9" width="16.44140625" customWidth="1"/>
    <col min="10" max="10" width="12.21875" customWidth="1"/>
    <col min="11" max="11" width="13.109375" customWidth="1"/>
    <col min="12" max="12" width="11.6640625" customWidth="1"/>
    <col min="13" max="13" width="12.109375" customWidth="1"/>
    <col min="15" max="15" width="14.5546875" customWidth="1"/>
    <col min="16" max="16" width="15.5546875" customWidth="1"/>
    <col min="17" max="17" width="18.5546875" customWidth="1"/>
    <col min="29" max="29" width="9.5546875" bestFit="1" customWidth="1"/>
  </cols>
  <sheetData>
    <row r="1" spans="1:35" ht="21" x14ac:dyDescent="0.4">
      <c r="A1" s="8" t="s">
        <v>599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S1" s="8" t="s">
        <v>600</v>
      </c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</row>
    <row r="2" spans="1:35" x14ac:dyDescent="0.3">
      <c r="A2" t="s">
        <v>459</v>
      </c>
      <c r="B2" t="s">
        <v>460</v>
      </c>
      <c r="C2" t="s">
        <v>461</v>
      </c>
      <c r="D2" t="s">
        <v>462</v>
      </c>
      <c r="E2" t="s">
        <v>463</v>
      </c>
      <c r="F2" t="s">
        <v>464</v>
      </c>
      <c r="G2" t="s">
        <v>465</v>
      </c>
      <c r="H2" t="s">
        <v>466</v>
      </c>
      <c r="I2" t="s">
        <v>467</v>
      </c>
      <c r="J2" t="s">
        <v>468</v>
      </c>
      <c r="K2" t="s">
        <v>469</v>
      </c>
      <c r="L2" t="s">
        <v>470</v>
      </c>
      <c r="M2" t="s">
        <v>471</v>
      </c>
      <c r="O2" t="s">
        <v>476</v>
      </c>
      <c r="P2" t="s">
        <v>477</v>
      </c>
      <c r="Q2" t="s">
        <v>478</v>
      </c>
      <c r="S2" t="s">
        <v>459</v>
      </c>
      <c r="T2" t="s">
        <v>460</v>
      </c>
      <c r="U2" t="s">
        <v>461</v>
      </c>
      <c r="V2" t="s">
        <v>462</v>
      </c>
      <c r="W2" t="s">
        <v>463</v>
      </c>
      <c r="X2" t="s">
        <v>464</v>
      </c>
      <c r="Y2" t="s">
        <v>465</v>
      </c>
      <c r="Z2" t="s">
        <v>466</v>
      </c>
      <c r="AA2" t="s">
        <v>467</v>
      </c>
      <c r="AB2" t="s">
        <v>468</v>
      </c>
      <c r="AC2" t="s">
        <v>469</v>
      </c>
      <c r="AD2" t="s">
        <v>470</v>
      </c>
      <c r="AE2" t="s">
        <v>471</v>
      </c>
      <c r="AG2" t="s">
        <v>476</v>
      </c>
      <c r="AH2" t="s">
        <v>477</v>
      </c>
      <c r="AI2" t="s">
        <v>478</v>
      </c>
    </row>
    <row r="3" spans="1:35" x14ac:dyDescent="0.3">
      <c r="A3">
        <v>7</v>
      </c>
      <c r="B3">
        <v>7</v>
      </c>
      <c r="C3" t="s">
        <v>24</v>
      </c>
      <c r="D3" t="s">
        <v>522</v>
      </c>
      <c r="E3" t="s">
        <v>527</v>
      </c>
      <c r="F3">
        <v>2012</v>
      </c>
      <c r="G3" s="1">
        <v>57.04</v>
      </c>
      <c r="H3" s="1"/>
      <c r="I3" s="1"/>
      <c r="K3">
        <v>93762</v>
      </c>
      <c r="L3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6.601851851851852E-4</v>
      </c>
      <c r="M3" s="3">
        <f>IF(Table1271631[[#This Row],[run 1 times]]="",999.99,IF(Table1271631[[#This Row],[run 1 times]]=$O$3,0,MAX(0,ROUND(((Table1271631[[#This Row],[run 1 times]]-$O$3)/$O$3)*$Q$6,2))))</f>
        <v>138.07</v>
      </c>
      <c r="O3" s="1">
        <f>MIN(Table1271631[run 1 times])</f>
        <v>5.9155092592592592E-4</v>
      </c>
      <c r="P3" s="1" t="e">
        <f>MIN(#REF!)</f>
        <v>#REF!</v>
      </c>
      <c r="Q3" s="1" t="e">
        <f>MIN(#REF!)</f>
        <v>#REF!</v>
      </c>
      <c r="S3">
        <v>29</v>
      </c>
      <c r="T3">
        <v>27</v>
      </c>
      <c r="U3" t="s">
        <v>479</v>
      </c>
      <c r="V3" t="s">
        <v>547</v>
      </c>
      <c r="W3" t="s">
        <v>566</v>
      </c>
      <c r="X3">
        <v>2010</v>
      </c>
      <c r="Y3" s="1">
        <v>7.2175925925925923E-4</v>
      </c>
      <c r="Z3" s="1"/>
      <c r="AA3" s="1"/>
      <c r="AC3" s="6">
        <v>89868</v>
      </c>
      <c r="AD3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7.2175925925925923E-4</v>
      </c>
      <c r="AE3" s="3">
        <f>IF(Table1221101934[[#This Row],[run 1 times]]="",999.99,IF(Table1221101934[[#This Row],[run 1 times]]=$AG$3,0,MAX(0,ROUND(((Table1221101934[[#This Row],[run 1 times]]-$AG$3)/$AG$3)*$AI$6,2))))</f>
        <v>255.15</v>
      </c>
      <c r="AG3" s="1">
        <f>MIN(Table1221101934[run 1 times])</f>
        <v>5.9432870370370369E-4</v>
      </c>
      <c r="AH3" s="1" t="e">
        <f>MIN(#REF!)</f>
        <v>#REF!</v>
      </c>
      <c r="AI3" s="1" t="e">
        <f>MIN(#REF!)</f>
        <v>#REF!</v>
      </c>
    </row>
    <row r="4" spans="1:35" x14ac:dyDescent="0.3">
      <c r="A4">
        <v>2</v>
      </c>
      <c r="B4">
        <v>2</v>
      </c>
      <c r="C4" t="s">
        <v>479</v>
      </c>
      <c r="D4" t="s">
        <v>522</v>
      </c>
      <c r="E4" t="s">
        <v>523</v>
      </c>
      <c r="F4">
        <v>2012</v>
      </c>
      <c r="G4" s="1">
        <v>58.69</v>
      </c>
      <c r="H4" s="1"/>
      <c r="I4" s="1"/>
      <c r="K4">
        <v>94923</v>
      </c>
      <c r="L4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6.7928240740740742E-4</v>
      </c>
      <c r="M4" s="3">
        <f>IF(Table1271631[[#This Row],[run 1 times]]="",999.99,IF(Table1271631[[#This Row],[run 1 times]]=$O$3,0,MAX(0,ROUND(((Table1271631[[#This Row],[run 1 times]]-$O$3)/$O$3)*$Q$6,2))))</f>
        <v>176.49</v>
      </c>
      <c r="S4">
        <v>28</v>
      </c>
      <c r="T4">
        <v>28</v>
      </c>
      <c r="U4" t="s">
        <v>487</v>
      </c>
      <c r="V4" t="s">
        <v>547</v>
      </c>
      <c r="W4" t="s">
        <v>577</v>
      </c>
      <c r="X4">
        <v>2011</v>
      </c>
      <c r="Y4" s="1" t="s">
        <v>512</v>
      </c>
      <c r="Z4" s="1"/>
      <c r="AA4" s="1"/>
      <c r="AC4" s="6">
        <v>91878</v>
      </c>
      <c r="AD4" s="2" t="str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E4" s="3">
        <f>IF(Table1221101934[[#This Row],[run 1 times]]="",999.99,IF(Table1221101934[[#This Row],[run 1 times]]=$AG$3,0,MAX(0,ROUND(((Table1221101934[[#This Row],[run 1 times]]-$AG$3)/$AG$3)*$AI$6,2))))</f>
        <v>999.99</v>
      </c>
    </row>
    <row r="5" spans="1:35" x14ac:dyDescent="0.3">
      <c r="A5">
        <v>3</v>
      </c>
      <c r="B5">
        <v>3</v>
      </c>
      <c r="C5" t="s">
        <v>487</v>
      </c>
      <c r="D5" t="s">
        <v>522</v>
      </c>
      <c r="E5" t="s">
        <v>867</v>
      </c>
      <c r="F5">
        <v>2012</v>
      </c>
      <c r="G5" s="1">
        <v>59.05</v>
      </c>
      <c r="H5" s="1"/>
      <c r="I5" s="1"/>
      <c r="K5">
        <v>102360</v>
      </c>
      <c r="L5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6.8344907407407406E-4</v>
      </c>
      <c r="M5" s="3">
        <f>IF(Table1271631[[#This Row],[run 1 times]]="",999.99,IF(Table1271631[[#This Row],[run 1 times]]=$O$3,0,MAX(0,ROUND(((Table1271631[[#This Row],[run 1 times]]-$O$3)/$O$3)*$Q$6,2))))</f>
        <v>184.87</v>
      </c>
      <c r="O5" t="s">
        <v>484</v>
      </c>
      <c r="P5" t="s">
        <v>485</v>
      </c>
      <c r="Q5" t="s">
        <v>486</v>
      </c>
      <c r="S5">
        <v>27</v>
      </c>
      <c r="T5">
        <v>29</v>
      </c>
      <c r="U5" t="s">
        <v>487</v>
      </c>
      <c r="V5" t="s">
        <v>572</v>
      </c>
      <c r="W5" t="s">
        <v>829</v>
      </c>
      <c r="X5">
        <v>2009</v>
      </c>
      <c r="Y5" s="1">
        <v>7.0914351851851856E-4</v>
      </c>
      <c r="Z5" s="1"/>
      <c r="AA5" s="1"/>
      <c r="AC5" s="6">
        <v>107084</v>
      </c>
      <c r="AD5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7.0914351851851856E-4</v>
      </c>
      <c r="AE5" s="3">
        <f>IF(Table1221101934[[#This Row],[run 1 times]]="",999.99,IF(Table1221101934[[#This Row],[run 1 times]]=$AG$3,0,MAX(0,ROUND(((Table1221101934[[#This Row],[run 1 times]]-$AG$3)/$AG$3)*$AI$6,2))))</f>
        <v>229.89</v>
      </c>
      <c r="AG5" t="s">
        <v>484</v>
      </c>
      <c r="AH5" t="s">
        <v>485</v>
      </c>
      <c r="AI5" t="s">
        <v>486</v>
      </c>
    </row>
    <row r="6" spans="1:35" x14ac:dyDescent="0.3">
      <c r="A6">
        <v>13</v>
      </c>
      <c r="B6">
        <v>13</v>
      </c>
      <c r="C6" t="s">
        <v>24</v>
      </c>
      <c r="D6" t="s">
        <v>522</v>
      </c>
      <c r="E6" t="s">
        <v>533</v>
      </c>
      <c r="F6">
        <v>2013</v>
      </c>
      <c r="G6" s="1">
        <v>59.47</v>
      </c>
      <c r="H6" s="1"/>
      <c r="I6" s="1"/>
      <c r="K6">
        <v>104666</v>
      </c>
      <c r="L6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6.8831018518518514E-4</v>
      </c>
      <c r="M6" s="3">
        <f>IF(Table1271631[[#This Row],[run 1 times]]="",999.99,IF(Table1271631[[#This Row],[run 1 times]]=$O$3,0,MAX(0,ROUND(((Table1271631[[#This Row],[run 1 times]]-$O$3)/$O$3)*$Q$6,2))))</f>
        <v>194.65</v>
      </c>
      <c r="O6">
        <v>730</v>
      </c>
      <c r="P6">
        <v>1010</v>
      </c>
      <c r="Q6">
        <v>1190</v>
      </c>
      <c r="S6">
        <v>26</v>
      </c>
      <c r="T6">
        <v>30</v>
      </c>
      <c r="U6" t="s">
        <v>479</v>
      </c>
      <c r="V6" t="s">
        <v>547</v>
      </c>
      <c r="W6" t="s">
        <v>557</v>
      </c>
      <c r="X6">
        <v>2010</v>
      </c>
      <c r="Y6" s="1" t="s">
        <v>512</v>
      </c>
      <c r="Z6" s="1"/>
      <c r="AA6" s="1"/>
      <c r="AC6" s="6">
        <v>89874</v>
      </c>
      <c r="AD6" s="2" t="str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E6" s="3">
        <f>IF(Table1221101934[[#This Row],[run 1 times]]="",999.99,IF(Table1221101934[[#This Row],[run 1 times]]=$AG$3,0,MAX(0,ROUND(((Table1221101934[[#This Row],[run 1 times]]-$AG$3)/$AG$3)*$AI$6,2))))</f>
        <v>999.99</v>
      </c>
      <c r="AG6">
        <v>730</v>
      </c>
      <c r="AH6">
        <v>1010</v>
      </c>
      <c r="AI6">
        <v>1190</v>
      </c>
    </row>
    <row r="7" spans="1:35" x14ac:dyDescent="0.3">
      <c r="A7">
        <v>22</v>
      </c>
      <c r="B7">
        <v>23</v>
      </c>
      <c r="C7" t="s">
        <v>24</v>
      </c>
      <c r="D7" t="s">
        <v>522</v>
      </c>
      <c r="E7" t="s">
        <v>525</v>
      </c>
      <c r="F7">
        <v>2012</v>
      </c>
      <c r="G7" s="1">
        <v>59.61</v>
      </c>
      <c r="H7" s="1"/>
      <c r="I7" s="1"/>
      <c r="K7">
        <v>93740</v>
      </c>
      <c r="L7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6.899305555555555E-4</v>
      </c>
      <c r="M7" s="3">
        <f>IF(Table1271631[[#This Row],[run 1 times]]="",999.99,IF(Table1271631[[#This Row],[run 1 times]]=$O$3,0,MAX(0,ROUND(((Table1271631[[#This Row],[run 1 times]]-$O$3)/$O$3)*$Q$6,2))))</f>
        <v>197.91</v>
      </c>
      <c r="S7">
        <v>25</v>
      </c>
      <c r="T7">
        <v>31</v>
      </c>
      <c r="U7" t="s">
        <v>24</v>
      </c>
      <c r="V7" t="s">
        <v>547</v>
      </c>
      <c r="W7" t="s">
        <v>835</v>
      </c>
      <c r="X7">
        <v>2011</v>
      </c>
      <c r="Y7" s="1">
        <v>7.1319444444444447E-4</v>
      </c>
      <c r="Z7" s="1"/>
      <c r="AA7" s="1"/>
      <c r="AC7" s="6">
        <v>88934</v>
      </c>
      <c r="AD7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7.1319444444444447E-4</v>
      </c>
      <c r="AE7" s="3">
        <f>IF(Table1221101934[[#This Row],[run 1 times]]="",999.99,IF(Table1221101934[[#This Row],[run 1 times]]=$AG$3,0,MAX(0,ROUND(((Table1221101934[[#This Row],[run 1 times]]-$AG$3)/$AG$3)*$AI$6,2))))</f>
        <v>238</v>
      </c>
    </row>
    <row r="8" spans="1:35" x14ac:dyDescent="0.3">
      <c r="A8">
        <v>6</v>
      </c>
      <c r="B8">
        <v>6</v>
      </c>
      <c r="C8" t="s">
        <v>479</v>
      </c>
      <c r="D8" t="s">
        <v>522</v>
      </c>
      <c r="E8" t="s">
        <v>540</v>
      </c>
      <c r="F8">
        <v>2013</v>
      </c>
      <c r="G8" s="1">
        <v>59.72</v>
      </c>
      <c r="H8" s="1"/>
      <c r="I8" s="1"/>
      <c r="K8">
        <v>101429</v>
      </c>
      <c r="L8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6.9120370370370364E-4</v>
      </c>
      <c r="M8" s="3">
        <f>IF(Table1271631[[#This Row],[run 1 times]]="",999.99,IF(Table1271631[[#This Row],[run 1 times]]=$O$3,0,MAX(0,ROUND(((Table1271631[[#This Row],[run 1 times]]-$O$3)/$O$3)*$Q$6,2))))</f>
        <v>200.47</v>
      </c>
      <c r="S8">
        <v>24</v>
      </c>
      <c r="T8">
        <v>32</v>
      </c>
      <c r="U8" t="s">
        <v>487</v>
      </c>
      <c r="V8" t="s">
        <v>547</v>
      </c>
      <c r="W8" t="s">
        <v>833</v>
      </c>
      <c r="X8">
        <v>2011</v>
      </c>
      <c r="Y8" s="1">
        <v>58.51</v>
      </c>
      <c r="Z8" s="1"/>
      <c r="AA8" s="1"/>
      <c r="AC8" s="6">
        <v>94578</v>
      </c>
      <c r="AD8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6.771990740740741E-4</v>
      </c>
      <c r="AE8" s="3">
        <f>IF(Table1221101934[[#This Row],[run 1 times]]="",999.99,IF(Table1221101934[[#This Row],[run 1 times]]=$AG$3,0,MAX(0,ROUND(((Table1221101934[[#This Row],[run 1 times]]-$AG$3)/$AG$3)*$AI$6,2))))</f>
        <v>165.93</v>
      </c>
    </row>
    <row r="9" spans="1:35" x14ac:dyDescent="0.3">
      <c r="A9">
        <v>10</v>
      </c>
      <c r="B9">
        <v>10</v>
      </c>
      <c r="C9" t="s">
        <v>257</v>
      </c>
      <c r="D9" t="s">
        <v>522</v>
      </c>
      <c r="E9" t="s">
        <v>528</v>
      </c>
      <c r="F9">
        <v>2012</v>
      </c>
      <c r="G9" s="1">
        <v>7.0081018518518517E-4</v>
      </c>
      <c r="H9" s="1"/>
      <c r="I9" s="1"/>
      <c r="K9">
        <v>102713</v>
      </c>
      <c r="L9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7.0081018518518517E-4</v>
      </c>
      <c r="M9" s="3">
        <f>IF(Table1271631[[#This Row],[run 1 times]]="",999.99,IF(Table1271631[[#This Row],[run 1 times]]=$O$3,0,MAX(0,ROUND(((Table1271631[[#This Row],[run 1 times]]-$O$3)/$O$3)*$Q$6,2))))</f>
        <v>219.79</v>
      </c>
      <c r="S9">
        <v>23</v>
      </c>
      <c r="T9">
        <v>33</v>
      </c>
      <c r="U9" t="s">
        <v>373</v>
      </c>
      <c r="V9" t="s">
        <v>547</v>
      </c>
      <c r="W9" t="s">
        <v>548</v>
      </c>
      <c r="X9">
        <v>2011</v>
      </c>
      <c r="Y9" s="1">
        <v>7.64699074074074E-4</v>
      </c>
      <c r="Z9" s="1"/>
      <c r="AA9" s="1"/>
      <c r="AC9" s="6">
        <v>94824</v>
      </c>
      <c r="AD9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7.64699074074074E-4</v>
      </c>
      <c r="AE9" s="3">
        <f>IF(Table1221101934[[#This Row],[run 1 times]]="",999.99,IF(Table1221101934[[#This Row],[run 1 times]]=$AG$3,0,MAX(0,ROUND(((Table1221101934[[#This Row],[run 1 times]]-$AG$3)/$AG$3)*$AI$6,2))))</f>
        <v>341.13</v>
      </c>
    </row>
    <row r="10" spans="1:35" x14ac:dyDescent="0.3">
      <c r="A10">
        <v>16</v>
      </c>
      <c r="B10">
        <v>17</v>
      </c>
      <c r="C10" t="s">
        <v>487</v>
      </c>
      <c r="D10" t="s">
        <v>522</v>
      </c>
      <c r="E10" t="s">
        <v>897</v>
      </c>
      <c r="F10">
        <v>2013</v>
      </c>
      <c r="G10" s="1">
        <v>7.0381944444444452E-4</v>
      </c>
      <c r="H10" s="1"/>
      <c r="I10" s="1"/>
      <c r="K10">
        <v>102426</v>
      </c>
      <c r="L10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7.0381944444444452E-4</v>
      </c>
      <c r="M10" s="3">
        <f>IF(Table1271631[[#This Row],[run 1 times]]="",999.99,IF(Table1271631[[#This Row],[run 1 times]]=$O$3,0,MAX(0,ROUND(((Table1271631[[#This Row],[run 1 times]]-$O$3)/$O$3)*$Q$6,2))))</f>
        <v>225.85</v>
      </c>
      <c r="S10">
        <v>22</v>
      </c>
      <c r="T10">
        <v>34</v>
      </c>
      <c r="U10" t="s">
        <v>826</v>
      </c>
      <c r="V10" t="s">
        <v>547</v>
      </c>
      <c r="W10" t="s">
        <v>831</v>
      </c>
      <c r="X10">
        <v>2010</v>
      </c>
      <c r="Y10" s="1">
        <v>58.48</v>
      </c>
      <c r="Z10" s="1"/>
      <c r="AA10" s="1"/>
      <c r="AC10" s="6">
        <v>92669</v>
      </c>
      <c r="AD10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6.7685185185185177E-4</v>
      </c>
      <c r="AE10" s="3">
        <f>IF(Table1221101934[[#This Row],[run 1 times]]="",999.99,IF(Table1221101934[[#This Row],[run 1 times]]=$AG$3,0,MAX(0,ROUND(((Table1221101934[[#This Row],[run 1 times]]-$AG$3)/$AG$3)*$AI$6,2))))</f>
        <v>165.23</v>
      </c>
    </row>
    <row r="11" spans="1:35" x14ac:dyDescent="0.3">
      <c r="A11">
        <v>21</v>
      </c>
      <c r="B11">
        <v>22</v>
      </c>
      <c r="C11" t="s">
        <v>223</v>
      </c>
      <c r="D11" t="s">
        <v>522</v>
      </c>
      <c r="E11" t="s">
        <v>538</v>
      </c>
      <c r="F11">
        <v>2012</v>
      </c>
      <c r="G11" s="1">
        <v>7.0567129629629625E-4</v>
      </c>
      <c r="H11" s="1"/>
      <c r="I11" s="1"/>
      <c r="K11">
        <v>102457</v>
      </c>
      <c r="L11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7.0567129629629625E-4</v>
      </c>
      <c r="M11" s="3">
        <f>IF(Table1271631[[#This Row],[run 1 times]]="",999.99,IF(Table1271631[[#This Row],[run 1 times]]=$O$3,0,MAX(0,ROUND(((Table1271631[[#This Row],[run 1 times]]-$O$3)/$O$3)*$Q$6,2))))</f>
        <v>229.57</v>
      </c>
      <c r="S11">
        <v>21</v>
      </c>
      <c r="T11">
        <v>35</v>
      </c>
      <c r="U11" t="s">
        <v>479</v>
      </c>
      <c r="V11" t="s">
        <v>547</v>
      </c>
      <c r="W11" t="s">
        <v>549</v>
      </c>
      <c r="X11">
        <v>2011</v>
      </c>
      <c r="Y11" s="1">
        <v>58.13</v>
      </c>
      <c r="Z11" s="1"/>
      <c r="AA11" s="1"/>
      <c r="AC11" s="6">
        <v>89879</v>
      </c>
      <c r="AD11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6.7280092592592597E-4</v>
      </c>
      <c r="AE11" s="3">
        <f>IF(Table1221101934[[#This Row],[run 1 times]]="",999.99,IF(Table1221101934[[#This Row],[run 1 times]]=$AG$3,0,MAX(0,ROUND(((Table1221101934[[#This Row],[run 1 times]]-$AG$3)/$AG$3)*$AI$6,2))))</f>
        <v>157.12</v>
      </c>
    </row>
    <row r="12" spans="1:35" x14ac:dyDescent="0.3">
      <c r="A12">
        <v>5</v>
      </c>
      <c r="B12">
        <v>5</v>
      </c>
      <c r="C12" t="s">
        <v>479</v>
      </c>
      <c r="D12" t="s">
        <v>522</v>
      </c>
      <c r="E12" t="s">
        <v>541</v>
      </c>
      <c r="F12">
        <v>2013</v>
      </c>
      <c r="G12" s="1">
        <v>7.2002314814814813E-4</v>
      </c>
      <c r="H12" s="1"/>
      <c r="I12" s="1"/>
      <c r="K12">
        <v>103278</v>
      </c>
      <c r="L12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7.2002314814814813E-4</v>
      </c>
      <c r="M12" s="3">
        <f>IF(Table1271631[[#This Row],[run 1 times]]="",999.99,IF(Table1271631[[#This Row],[run 1 times]]=$O$3,0,MAX(0,ROUND(((Table1271631[[#This Row],[run 1 times]]-$O$3)/$O$3)*$Q$6,2))))</f>
        <v>258.44</v>
      </c>
      <c r="S12">
        <v>19</v>
      </c>
      <c r="T12">
        <v>37</v>
      </c>
      <c r="U12" t="s">
        <v>24</v>
      </c>
      <c r="V12" t="s">
        <v>547</v>
      </c>
      <c r="W12" t="s">
        <v>832</v>
      </c>
      <c r="X12">
        <v>2011</v>
      </c>
      <c r="Y12" s="1">
        <v>7.6689814814814817E-4</v>
      </c>
      <c r="Z12" s="1"/>
      <c r="AA12" s="1"/>
      <c r="AC12" s="6">
        <v>89072</v>
      </c>
      <c r="AD12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7.6689814814814817E-4</v>
      </c>
      <c r="AE12" s="3">
        <f>IF(Table1221101934[[#This Row],[run 1 times]]="",999.99,IF(Table1221101934[[#This Row],[run 1 times]]=$AG$3,0,MAX(0,ROUND(((Table1221101934[[#This Row],[run 1 times]]-$AG$3)/$AG$3)*$AI$6,2))))</f>
        <v>345.53</v>
      </c>
    </row>
    <row r="13" spans="1:35" x14ac:dyDescent="0.3">
      <c r="A13">
        <v>18</v>
      </c>
      <c r="B13">
        <v>19</v>
      </c>
      <c r="C13" t="s">
        <v>24</v>
      </c>
      <c r="D13" t="s">
        <v>522</v>
      </c>
      <c r="E13" t="s">
        <v>546</v>
      </c>
      <c r="F13">
        <v>2012</v>
      </c>
      <c r="G13" s="1">
        <v>7.2071759259259268E-4</v>
      </c>
      <c r="H13" s="1"/>
      <c r="I13" s="1"/>
      <c r="K13">
        <v>102776</v>
      </c>
      <c r="L13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7.2071759259259268E-4</v>
      </c>
      <c r="M13" s="3">
        <f>IF(Table1271631[[#This Row],[run 1 times]]="",999.99,IF(Table1271631[[#This Row],[run 1 times]]=$O$3,0,MAX(0,ROUND(((Table1271631[[#This Row],[run 1 times]]-$O$3)/$O$3)*$Q$6,2))))</f>
        <v>259.83999999999997</v>
      </c>
      <c r="S13">
        <v>18</v>
      </c>
      <c r="T13">
        <v>38</v>
      </c>
      <c r="U13" t="s">
        <v>826</v>
      </c>
      <c r="V13" t="s">
        <v>547</v>
      </c>
      <c r="W13" t="s">
        <v>828</v>
      </c>
      <c r="X13">
        <v>2011</v>
      </c>
      <c r="Y13" s="1">
        <v>7.5578703703703702E-4</v>
      </c>
      <c r="Z13" s="1"/>
      <c r="AA13" s="1"/>
      <c r="AC13" s="6">
        <v>110582</v>
      </c>
      <c r="AD13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7.5578703703703702E-4</v>
      </c>
      <c r="AE13" s="3">
        <f>IF(Table1221101934[[#This Row],[run 1 times]]="",999.99,IF(Table1221101934[[#This Row],[run 1 times]]=$AG$3,0,MAX(0,ROUND(((Table1221101934[[#This Row],[run 1 times]]-$AG$3)/$AG$3)*$AI$6,2))))</f>
        <v>323.27999999999997</v>
      </c>
    </row>
    <row r="14" spans="1:35" x14ac:dyDescent="0.3">
      <c r="A14">
        <v>25</v>
      </c>
      <c r="B14">
        <v>26</v>
      </c>
      <c r="C14" t="s">
        <v>257</v>
      </c>
      <c r="D14" t="s">
        <v>522</v>
      </c>
      <c r="E14" t="s">
        <v>526</v>
      </c>
      <c r="F14">
        <v>2012</v>
      </c>
      <c r="G14" s="1">
        <v>7.2384259259259255E-4</v>
      </c>
      <c r="H14" s="1"/>
      <c r="I14" s="1"/>
      <c r="K14">
        <v>107311</v>
      </c>
      <c r="L14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7.2384259259259255E-4</v>
      </c>
      <c r="M14" s="3">
        <f>IF(Table1271631[[#This Row],[run 1 times]]="",999.99,IF(Table1271631[[#This Row],[run 1 times]]=$O$3,0,MAX(0,ROUND(((Table1271631[[#This Row],[run 1 times]]-$O$3)/$O$3)*$Q$6,2))))</f>
        <v>266.13</v>
      </c>
      <c r="S14">
        <v>17</v>
      </c>
      <c r="T14">
        <v>39</v>
      </c>
      <c r="U14" t="s">
        <v>479</v>
      </c>
      <c r="V14" t="s">
        <v>547</v>
      </c>
      <c r="W14" t="s">
        <v>551</v>
      </c>
      <c r="X14">
        <v>2010</v>
      </c>
      <c r="Y14" s="1">
        <v>55.99</v>
      </c>
      <c r="Z14" s="1"/>
      <c r="AA14" s="1"/>
      <c r="AC14" s="6">
        <v>89878</v>
      </c>
      <c r="AD14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6.4803240740740739E-4</v>
      </c>
      <c r="AE14" s="3">
        <f>IF(Table1221101934[[#This Row],[run 1 times]]="",999.99,IF(Table1221101934[[#This Row],[run 1 times]]=$AG$3,0,MAX(0,ROUND(((Table1221101934[[#This Row],[run 1 times]]-$AG$3)/$AG$3)*$AI$6,2))))</f>
        <v>107.53</v>
      </c>
    </row>
    <row r="15" spans="1:35" x14ac:dyDescent="0.3">
      <c r="A15">
        <v>11</v>
      </c>
      <c r="B15">
        <v>11</v>
      </c>
      <c r="C15" t="s">
        <v>487</v>
      </c>
      <c r="D15" t="s">
        <v>522</v>
      </c>
      <c r="E15" t="s">
        <v>863</v>
      </c>
      <c r="F15">
        <v>2012</v>
      </c>
      <c r="G15" s="1">
        <v>7.245370370370371E-4</v>
      </c>
      <c r="H15" s="1"/>
      <c r="I15" s="1"/>
      <c r="K15">
        <v>91186</v>
      </c>
      <c r="L15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7.245370370370371E-4</v>
      </c>
      <c r="M15" s="3">
        <f>IF(Table1271631[[#This Row],[run 1 times]]="",999.99,IF(Table1271631[[#This Row],[run 1 times]]=$O$3,0,MAX(0,ROUND(((Table1271631[[#This Row],[run 1 times]]-$O$3)/$O$3)*$Q$6,2))))</f>
        <v>267.52</v>
      </c>
      <c r="S15">
        <v>16</v>
      </c>
      <c r="T15">
        <v>40</v>
      </c>
      <c r="U15" t="s">
        <v>24</v>
      </c>
      <c r="V15" t="s">
        <v>547</v>
      </c>
      <c r="W15" t="s">
        <v>568</v>
      </c>
      <c r="X15">
        <v>2010</v>
      </c>
      <c r="Y15" s="1">
        <v>58.32</v>
      </c>
      <c r="Z15" s="1"/>
      <c r="AA15" s="1"/>
      <c r="AC15" s="6">
        <v>104647</v>
      </c>
      <c r="AD15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6.7500000000000004E-4</v>
      </c>
      <c r="AE15" s="3">
        <f>IF(Table1221101934[[#This Row],[run 1 times]]="",999.99,IF(Table1221101934[[#This Row],[run 1 times]]=$AG$3,0,MAX(0,ROUND(((Table1221101934[[#This Row],[run 1 times]]-$AG$3)/$AG$3)*$AI$6,2))))</f>
        <v>161.52000000000001</v>
      </c>
    </row>
    <row r="16" spans="1:35" x14ac:dyDescent="0.3">
      <c r="A16">
        <v>8</v>
      </c>
      <c r="B16">
        <v>8</v>
      </c>
      <c r="C16" t="s">
        <v>257</v>
      </c>
      <c r="D16" t="s">
        <v>522</v>
      </c>
      <c r="E16" t="s">
        <v>532</v>
      </c>
      <c r="F16">
        <v>2013</v>
      </c>
      <c r="G16" s="1">
        <v>7.2523148148148143E-4</v>
      </c>
      <c r="H16" s="1"/>
      <c r="I16" s="1"/>
      <c r="K16">
        <v>117693</v>
      </c>
      <c r="L16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7.2523148148148143E-4</v>
      </c>
      <c r="M16" s="3">
        <f>IF(Table1271631[[#This Row],[run 1 times]]="",999.99,IF(Table1271631[[#This Row],[run 1 times]]=$O$3,0,MAX(0,ROUND(((Table1271631[[#This Row],[run 1 times]]-$O$3)/$O$3)*$Q$6,2))))</f>
        <v>268.92</v>
      </c>
      <c r="S16">
        <v>15</v>
      </c>
      <c r="T16">
        <v>41</v>
      </c>
      <c r="U16" t="s">
        <v>257</v>
      </c>
      <c r="V16" t="s">
        <v>572</v>
      </c>
      <c r="W16" t="s">
        <v>567</v>
      </c>
      <c r="X16">
        <v>2009</v>
      </c>
      <c r="Y16" s="1">
        <v>7.1412037037037039E-4</v>
      </c>
      <c r="Z16" s="1"/>
      <c r="AA16" s="1"/>
      <c r="AC16" s="6">
        <v>117692</v>
      </c>
      <c r="AD16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7.1412037037037039E-4</v>
      </c>
      <c r="AE16" s="3">
        <f>IF(Table1221101934[[#This Row],[run 1 times]]="",999.99,IF(Table1221101934[[#This Row],[run 1 times]]=$AG$3,0,MAX(0,ROUND(((Table1221101934[[#This Row],[run 1 times]]-$AG$3)/$AG$3)*$AI$6,2))))</f>
        <v>239.85</v>
      </c>
    </row>
    <row r="17" spans="1:31" x14ac:dyDescent="0.3">
      <c r="A17">
        <v>4</v>
      </c>
      <c r="B17">
        <v>4</v>
      </c>
      <c r="C17" t="s">
        <v>24</v>
      </c>
      <c r="D17" t="s">
        <v>522</v>
      </c>
      <c r="E17" t="s">
        <v>539</v>
      </c>
      <c r="F17">
        <v>2012</v>
      </c>
      <c r="G17" s="1">
        <v>7.2951388888888892E-4</v>
      </c>
      <c r="H17" s="1"/>
      <c r="I17" s="1"/>
      <c r="K17">
        <v>102777</v>
      </c>
      <c r="L17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7.2951388888888892E-4</v>
      </c>
      <c r="M17" s="3">
        <f>IF(Table1271631[[#This Row],[run 1 times]]="",999.99,IF(Table1271631[[#This Row],[run 1 times]]=$O$3,0,MAX(0,ROUND(((Table1271631[[#This Row],[run 1 times]]-$O$3)/$O$3)*$Q$6,2))))</f>
        <v>277.52999999999997</v>
      </c>
      <c r="S17">
        <v>14</v>
      </c>
      <c r="T17">
        <v>42</v>
      </c>
      <c r="U17" t="s">
        <v>479</v>
      </c>
      <c r="V17" t="s">
        <v>547</v>
      </c>
      <c r="W17" t="s">
        <v>561</v>
      </c>
      <c r="X17">
        <v>2011</v>
      </c>
      <c r="Y17" s="1" t="s">
        <v>512</v>
      </c>
      <c r="Z17" s="1"/>
      <c r="AA17" s="1"/>
      <c r="AC17" s="6">
        <v>101426</v>
      </c>
      <c r="AD17" s="2" t="str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E17" s="3">
        <f>IF(Table1221101934[[#This Row],[run 1 times]]="",999.99,IF(Table1221101934[[#This Row],[run 1 times]]=$AG$3,0,MAX(0,ROUND(((Table1221101934[[#This Row],[run 1 times]]-$AG$3)/$AG$3)*$AI$6,2))))</f>
        <v>999.99</v>
      </c>
    </row>
    <row r="18" spans="1:31" x14ac:dyDescent="0.3">
      <c r="A18">
        <v>14</v>
      </c>
      <c r="B18">
        <v>14</v>
      </c>
      <c r="C18" t="s">
        <v>257</v>
      </c>
      <c r="D18" t="s">
        <v>522</v>
      </c>
      <c r="E18" t="s">
        <v>530</v>
      </c>
      <c r="F18">
        <v>2013</v>
      </c>
      <c r="G18" s="1">
        <v>7.3483796296296296E-4</v>
      </c>
      <c r="H18" s="1"/>
      <c r="I18" s="1"/>
      <c r="K18">
        <v>112516</v>
      </c>
      <c r="L18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7.3483796296296296E-4</v>
      </c>
      <c r="M18" s="3">
        <f>IF(Table1271631[[#This Row],[run 1 times]]="",999.99,IF(Table1271631[[#This Row],[run 1 times]]=$O$3,0,MAX(0,ROUND(((Table1271631[[#This Row],[run 1 times]]-$O$3)/$O$3)*$Q$6,2))))</f>
        <v>288.24</v>
      </c>
      <c r="S18">
        <v>13</v>
      </c>
      <c r="T18">
        <v>43</v>
      </c>
      <c r="U18" t="s">
        <v>257</v>
      </c>
      <c r="V18" t="s">
        <v>572</v>
      </c>
      <c r="W18" t="s">
        <v>558</v>
      </c>
      <c r="X18">
        <v>2009</v>
      </c>
      <c r="Y18" s="1">
        <v>6.9571759259259261E-4</v>
      </c>
      <c r="Z18" s="1"/>
      <c r="AA18" s="1"/>
      <c r="AC18" s="6">
        <v>109211</v>
      </c>
      <c r="AD18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6.9571759259259261E-4</v>
      </c>
      <c r="AE18" s="3">
        <f>IF(Table1221101934[[#This Row],[run 1 times]]="",999.99,IF(Table1221101934[[#This Row],[run 1 times]]=$AG$3,0,MAX(0,ROUND(((Table1221101934[[#This Row],[run 1 times]]-$AG$3)/$AG$3)*$AI$6,2))))</f>
        <v>203.01</v>
      </c>
    </row>
    <row r="19" spans="1:31" x14ac:dyDescent="0.3">
      <c r="A19">
        <v>19</v>
      </c>
      <c r="B19">
        <v>20</v>
      </c>
      <c r="C19" t="s">
        <v>257</v>
      </c>
      <c r="D19" t="s">
        <v>522</v>
      </c>
      <c r="E19" t="s">
        <v>542</v>
      </c>
      <c r="F19">
        <v>2013</v>
      </c>
      <c r="G19" s="1">
        <v>7.4502314814814819E-4</v>
      </c>
      <c r="H19" s="1"/>
      <c r="I19" s="1"/>
      <c r="K19">
        <v>118512</v>
      </c>
      <c r="L19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7.4502314814814819E-4</v>
      </c>
      <c r="M19" s="3">
        <f>IF(Table1271631[[#This Row],[run 1 times]]="",999.99,IF(Table1271631[[#This Row],[run 1 times]]=$O$3,0,MAX(0,ROUND(((Table1271631[[#This Row],[run 1 times]]-$O$3)/$O$3)*$Q$6,2))))</f>
        <v>308.73</v>
      </c>
      <c r="S19">
        <v>12</v>
      </c>
      <c r="T19">
        <v>44</v>
      </c>
      <c r="U19" t="s">
        <v>257</v>
      </c>
      <c r="V19" t="s">
        <v>547</v>
      </c>
      <c r="W19" t="s">
        <v>571</v>
      </c>
      <c r="X19">
        <v>2010</v>
      </c>
      <c r="Y19" s="1">
        <v>7.6597222222222225E-4</v>
      </c>
      <c r="Z19" s="1"/>
      <c r="AA19" s="1"/>
      <c r="AC19" s="6">
        <v>92167</v>
      </c>
      <c r="AD19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7.6597222222222225E-4</v>
      </c>
      <c r="AE19" s="3">
        <f>IF(Table1221101934[[#This Row],[run 1 times]]="",999.99,IF(Table1221101934[[#This Row],[run 1 times]]=$AG$3,0,MAX(0,ROUND(((Table1221101934[[#This Row],[run 1 times]]-$AG$3)/$AG$3)*$AI$6,2))))</f>
        <v>343.67</v>
      </c>
    </row>
    <row r="20" spans="1:31" x14ac:dyDescent="0.3">
      <c r="A20">
        <v>20</v>
      </c>
      <c r="B20">
        <v>21</v>
      </c>
      <c r="C20" t="s">
        <v>24</v>
      </c>
      <c r="D20" t="s">
        <v>522</v>
      </c>
      <c r="E20" t="s">
        <v>529</v>
      </c>
      <c r="F20">
        <v>2013</v>
      </c>
      <c r="G20" s="1">
        <v>7.4814814814814817E-4</v>
      </c>
      <c r="H20" s="1"/>
      <c r="I20" s="1"/>
      <c r="K20">
        <v>93764</v>
      </c>
      <c r="L20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7.4814814814814817E-4</v>
      </c>
      <c r="M20" s="3">
        <f>IF(Table1271631[[#This Row],[run 1 times]]="",999.99,IF(Table1271631[[#This Row],[run 1 times]]=$O$3,0,MAX(0,ROUND(((Table1271631[[#This Row],[run 1 times]]-$O$3)/$O$3)*$Q$6,2))))</f>
        <v>315.02</v>
      </c>
      <c r="S20">
        <v>11</v>
      </c>
      <c r="T20">
        <v>45</v>
      </c>
      <c r="U20" t="s">
        <v>223</v>
      </c>
      <c r="V20" t="s">
        <v>547</v>
      </c>
      <c r="W20" t="s">
        <v>574</v>
      </c>
      <c r="X20">
        <v>2010</v>
      </c>
      <c r="Y20" s="1">
        <v>52.94</v>
      </c>
      <c r="Z20" s="1"/>
      <c r="AA20" s="1"/>
      <c r="AC20" s="6">
        <v>93284</v>
      </c>
      <c r="AD20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6.1273148148148146E-4</v>
      </c>
      <c r="AE20" s="3">
        <f>IF(Table1221101934[[#This Row],[run 1 times]]="",999.99,IF(Table1221101934[[#This Row],[run 1 times]]=$AG$3,0,MAX(0,ROUND(((Table1221101934[[#This Row],[run 1 times]]-$AG$3)/$AG$3)*$AI$6,2))))</f>
        <v>36.85</v>
      </c>
    </row>
    <row r="21" spans="1:31" x14ac:dyDescent="0.3">
      <c r="A21">
        <v>15</v>
      </c>
      <c r="B21">
        <v>15</v>
      </c>
      <c r="C21" t="s">
        <v>479</v>
      </c>
      <c r="D21" t="s">
        <v>522</v>
      </c>
      <c r="E21" t="s">
        <v>545</v>
      </c>
      <c r="F21">
        <v>2013</v>
      </c>
      <c r="G21" s="1">
        <v>7.5694444444444453E-4</v>
      </c>
      <c r="H21" s="1"/>
      <c r="I21" s="1"/>
      <c r="K21">
        <v>103279</v>
      </c>
      <c r="L21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7.5694444444444453E-4</v>
      </c>
      <c r="M21" s="3">
        <f>IF(Table1271631[[#This Row],[run 1 times]]="",999.99,IF(Table1271631[[#This Row],[run 1 times]]=$O$3,0,MAX(0,ROUND(((Table1271631[[#This Row],[run 1 times]]-$O$3)/$O$3)*$Q$6,2))))</f>
        <v>332.72</v>
      </c>
      <c r="S21">
        <v>10</v>
      </c>
      <c r="T21">
        <v>46</v>
      </c>
      <c r="U21" t="s">
        <v>826</v>
      </c>
      <c r="V21" t="s">
        <v>547</v>
      </c>
      <c r="W21" t="s">
        <v>827</v>
      </c>
      <c r="X21">
        <v>2010</v>
      </c>
      <c r="Y21" s="1">
        <v>53.44</v>
      </c>
      <c r="Z21" s="1"/>
      <c r="AA21" s="1"/>
      <c r="AC21" s="6">
        <v>88769</v>
      </c>
      <c r="AD21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6.1851851851851846E-4</v>
      </c>
      <c r="AE21" s="3">
        <f>IF(Table1221101934[[#This Row],[run 1 times]]="",999.99,IF(Table1221101934[[#This Row],[run 1 times]]=$AG$3,0,MAX(0,ROUND(((Table1221101934[[#This Row],[run 1 times]]-$AG$3)/$AG$3)*$AI$6,2))))</f>
        <v>48.43</v>
      </c>
    </row>
    <row r="22" spans="1:31" x14ac:dyDescent="0.3">
      <c r="A22">
        <v>23</v>
      </c>
      <c r="B22">
        <v>24</v>
      </c>
      <c r="C22" t="s">
        <v>257</v>
      </c>
      <c r="D22" t="s">
        <v>522</v>
      </c>
      <c r="E22" t="s">
        <v>535</v>
      </c>
      <c r="F22">
        <v>2012</v>
      </c>
      <c r="G22" s="1">
        <v>7.8981481481481481E-4</v>
      </c>
      <c r="H22" s="1"/>
      <c r="I22" s="1"/>
      <c r="K22">
        <v>117000</v>
      </c>
      <c r="L22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7.8981481481481481E-4</v>
      </c>
      <c r="M22" s="3">
        <f>IF(Table1271631[[#This Row],[run 1 times]]="",999.99,IF(Table1271631[[#This Row],[run 1 times]]=$O$3,0,MAX(0,ROUND(((Table1271631[[#This Row],[run 1 times]]-$O$3)/$O$3)*$Q$6,2))))</f>
        <v>398.84</v>
      </c>
      <c r="S22">
        <v>9</v>
      </c>
      <c r="T22">
        <v>47</v>
      </c>
      <c r="U22" t="s">
        <v>24</v>
      </c>
      <c r="V22" t="s">
        <v>572</v>
      </c>
      <c r="W22" t="s">
        <v>559</v>
      </c>
      <c r="X22">
        <v>2009</v>
      </c>
      <c r="Y22" s="1">
        <v>7.4502314814814819E-4</v>
      </c>
      <c r="Z22" s="1"/>
      <c r="AA22" s="1"/>
      <c r="AC22" s="6">
        <v>91622</v>
      </c>
      <c r="AD22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7.4502314814814819E-4</v>
      </c>
      <c r="AE22" s="3">
        <f>IF(Table1221101934[[#This Row],[run 1 times]]="",999.99,IF(Table1221101934[[#This Row],[run 1 times]]=$AG$3,0,MAX(0,ROUND(((Table1221101934[[#This Row],[run 1 times]]-$AG$3)/$AG$3)*$AI$6,2))))</f>
        <v>301.73</v>
      </c>
    </row>
    <row r="23" spans="1:31" x14ac:dyDescent="0.3">
      <c r="A23">
        <v>17</v>
      </c>
      <c r="B23">
        <v>18</v>
      </c>
      <c r="C23" t="s">
        <v>487</v>
      </c>
      <c r="D23" t="s">
        <v>522</v>
      </c>
      <c r="E23" t="s">
        <v>870</v>
      </c>
      <c r="F23">
        <v>2013</v>
      </c>
      <c r="G23" s="1">
        <v>7.9189814814814813E-4</v>
      </c>
      <c r="H23" s="1"/>
      <c r="I23" s="1"/>
      <c r="K23">
        <v>121030</v>
      </c>
      <c r="L23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7.9189814814814813E-4</v>
      </c>
      <c r="M23" s="3">
        <f>IF(Table1271631[[#This Row],[run 1 times]]="",999.99,IF(Table1271631[[#This Row],[run 1 times]]=$O$3,0,MAX(0,ROUND(((Table1271631[[#This Row],[run 1 times]]-$O$3)/$O$3)*$Q$6,2))))</f>
        <v>403.03</v>
      </c>
      <c r="S23">
        <v>8</v>
      </c>
      <c r="T23">
        <v>48</v>
      </c>
      <c r="U23" t="s">
        <v>373</v>
      </c>
      <c r="V23" t="s">
        <v>547</v>
      </c>
      <c r="W23" t="s">
        <v>550</v>
      </c>
      <c r="X23">
        <v>2010</v>
      </c>
      <c r="Y23" s="1">
        <v>7.0787037037037032E-4</v>
      </c>
      <c r="Z23" s="1"/>
      <c r="AA23" s="1"/>
      <c r="AC23" s="6">
        <v>102764</v>
      </c>
      <c r="AD23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7.0787037037037032E-4</v>
      </c>
      <c r="AE23" s="3">
        <f>IF(Table1221101934[[#This Row],[run 1 times]]="",999.99,IF(Table1221101934[[#This Row],[run 1 times]]=$AG$3,0,MAX(0,ROUND(((Table1221101934[[#This Row],[run 1 times]]-$AG$3)/$AG$3)*$AI$6,2))))</f>
        <v>227.34</v>
      </c>
    </row>
    <row r="24" spans="1:31" x14ac:dyDescent="0.3">
      <c r="A24">
        <v>12</v>
      </c>
      <c r="B24">
        <v>12</v>
      </c>
      <c r="C24" t="s">
        <v>487</v>
      </c>
      <c r="D24" t="s">
        <v>522</v>
      </c>
      <c r="E24" t="s">
        <v>856</v>
      </c>
      <c r="F24">
        <v>2012</v>
      </c>
      <c r="G24" s="1">
        <v>8.0740740740740751E-4</v>
      </c>
      <c r="H24" s="1"/>
      <c r="I24" s="1"/>
      <c r="K24">
        <v>108840</v>
      </c>
      <c r="L24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8.0740740740740751E-4</v>
      </c>
      <c r="M24" s="3">
        <f>IF(Table1271631[[#This Row],[run 1 times]]="",999.99,IF(Table1271631[[#This Row],[run 1 times]]=$O$3,0,MAX(0,ROUND(((Table1271631[[#This Row],[run 1 times]]-$O$3)/$O$3)*$Q$6,2))))</f>
        <v>434.23</v>
      </c>
      <c r="S24">
        <v>7</v>
      </c>
      <c r="T24">
        <v>49</v>
      </c>
      <c r="U24" t="s">
        <v>479</v>
      </c>
      <c r="V24" t="s">
        <v>547</v>
      </c>
      <c r="W24" t="s">
        <v>575</v>
      </c>
      <c r="X24">
        <v>2011</v>
      </c>
      <c r="Y24" s="1">
        <v>51.35</v>
      </c>
      <c r="Z24" s="1"/>
      <c r="AA24" s="1"/>
      <c r="AC24" s="6">
        <v>94621</v>
      </c>
      <c r="AD24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5.9432870370370369E-4</v>
      </c>
      <c r="AE24" s="3">
        <f>IF(Table1221101934[[#This Row],[run 1 times]]="",999.99,IF(Table1221101934[[#This Row],[run 1 times]]=$AG$3,0,MAX(0,ROUND(((Table1221101934[[#This Row],[run 1 times]]-$AG$3)/$AG$3)*$AI$6,2))))</f>
        <v>0</v>
      </c>
    </row>
    <row r="25" spans="1:31" x14ac:dyDescent="0.3">
      <c r="A25">
        <v>9</v>
      </c>
      <c r="B25">
        <v>9</v>
      </c>
      <c r="C25" t="s">
        <v>24</v>
      </c>
      <c r="D25" t="s">
        <v>522</v>
      </c>
      <c r="E25" t="s">
        <v>524</v>
      </c>
      <c r="F25">
        <v>2012</v>
      </c>
      <c r="G25" s="1" t="s">
        <v>512</v>
      </c>
      <c r="H25" s="1"/>
      <c r="I25" s="1"/>
      <c r="K25">
        <v>93755</v>
      </c>
      <c r="L25" s="2" t="str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25" s="3">
        <f>IF(Table1271631[[#This Row],[run 1 times]]="",999.99,IF(Table1271631[[#This Row],[run 1 times]]=$O$3,0,MAX(0,ROUND(((Table1271631[[#This Row],[run 1 times]]-$O$3)/$O$3)*$Q$6,2))))</f>
        <v>999.99</v>
      </c>
      <c r="S25">
        <v>6</v>
      </c>
      <c r="T25">
        <v>50</v>
      </c>
      <c r="U25" t="s">
        <v>479</v>
      </c>
      <c r="V25" t="s">
        <v>547</v>
      </c>
      <c r="W25" t="s">
        <v>555</v>
      </c>
      <c r="X25">
        <v>2011</v>
      </c>
      <c r="Y25" s="1">
        <v>52.64</v>
      </c>
      <c r="Z25" s="1"/>
      <c r="AA25" s="1"/>
      <c r="AC25" s="6">
        <v>94624</v>
      </c>
      <c r="AD25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6.0925925925925926E-4</v>
      </c>
      <c r="AE25" s="3">
        <f>IF(Table1221101934[[#This Row],[run 1 times]]="",999.99,IF(Table1221101934[[#This Row],[run 1 times]]=$AG$3,0,MAX(0,ROUND(((Table1221101934[[#This Row],[run 1 times]]-$AG$3)/$AG$3)*$AI$6,2))))</f>
        <v>29.89</v>
      </c>
    </row>
    <row r="26" spans="1:31" x14ac:dyDescent="0.3">
      <c r="A26">
        <v>24</v>
      </c>
      <c r="B26">
        <v>25</v>
      </c>
      <c r="C26" t="s">
        <v>257</v>
      </c>
      <c r="D26" t="s">
        <v>522</v>
      </c>
      <c r="E26" t="s">
        <v>543</v>
      </c>
      <c r="F26">
        <v>2013</v>
      </c>
      <c r="G26" s="1" t="s">
        <v>512</v>
      </c>
      <c r="H26" s="1"/>
      <c r="I26" s="1"/>
      <c r="K26">
        <v>121965</v>
      </c>
      <c r="L26" s="2" t="str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26" s="3">
        <f>IF(Table1271631[[#This Row],[run 1 times]]="",999.99,IF(Table1271631[[#This Row],[run 1 times]]=$O$3,0,MAX(0,ROUND(((Table1271631[[#This Row],[run 1 times]]-$O$3)/$O$3)*$Q$6,2))))</f>
        <v>999.99</v>
      </c>
      <c r="S26">
        <v>4</v>
      </c>
      <c r="T26">
        <v>52</v>
      </c>
      <c r="U26" t="s">
        <v>24</v>
      </c>
      <c r="V26" t="s">
        <v>547</v>
      </c>
      <c r="W26" t="s">
        <v>565</v>
      </c>
      <c r="X26">
        <v>2011</v>
      </c>
      <c r="Y26" s="1">
        <v>54.93</v>
      </c>
      <c r="Z26" s="1"/>
      <c r="AA26" s="1"/>
      <c r="AC26" s="6">
        <v>89752</v>
      </c>
      <c r="AD26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6.3576388888888884E-4</v>
      </c>
      <c r="AE26" s="3">
        <f>IF(Table1221101934[[#This Row],[run 1 times]]="",999.99,IF(Table1221101934[[#This Row],[run 1 times]]=$AG$3,0,MAX(0,ROUND(((Table1221101934[[#This Row],[run 1 times]]-$AG$3)/$AG$3)*$AI$6,2))))</f>
        <v>82.96</v>
      </c>
    </row>
    <row r="27" spans="1:31" x14ac:dyDescent="0.3">
      <c r="A27">
        <v>1</v>
      </c>
      <c r="B27">
        <v>1</v>
      </c>
      <c r="C27" t="s">
        <v>479</v>
      </c>
      <c r="D27" t="s">
        <v>522</v>
      </c>
      <c r="E27" t="s">
        <v>853</v>
      </c>
      <c r="F27">
        <v>2013</v>
      </c>
      <c r="G27" s="1" t="s">
        <v>512</v>
      </c>
      <c r="H27" s="1"/>
      <c r="I27" s="1"/>
      <c r="K27">
        <v>111694</v>
      </c>
      <c r="L27" s="2" t="str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27" s="3">
        <f>IF(Table1271631[[#This Row],[run 1 times]]="",999.99,IF(Table1271631[[#This Row],[run 1 times]]=$O$3,0,MAX(0,ROUND(((Table1271631[[#This Row],[run 1 times]]-$O$3)/$O$3)*$Q$6,2))))</f>
        <v>999.99</v>
      </c>
      <c r="S27">
        <v>3</v>
      </c>
      <c r="T27">
        <v>54</v>
      </c>
      <c r="U27" t="s">
        <v>257</v>
      </c>
      <c r="V27" t="s">
        <v>547</v>
      </c>
      <c r="W27" t="s">
        <v>570</v>
      </c>
      <c r="X27">
        <v>2010</v>
      </c>
      <c r="Y27" s="1">
        <v>59.04</v>
      </c>
      <c r="Z27" s="1"/>
      <c r="AA27" s="1"/>
      <c r="AC27" s="6">
        <v>102723</v>
      </c>
      <c r="AD27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6.8333333333333332E-4</v>
      </c>
      <c r="AE27" s="3">
        <f>IF(Table1221101934[[#This Row],[run 1 times]]="",999.99,IF(Table1221101934[[#This Row],[run 1 times]]=$AG$3,0,MAX(0,ROUND(((Table1221101934[[#This Row],[run 1 times]]-$AG$3)/$AG$3)*$AI$6,2))))</f>
        <v>178.21</v>
      </c>
    </row>
    <row r="28" spans="1:31" x14ac:dyDescent="0.3">
      <c r="A28">
        <v>3</v>
      </c>
      <c r="B28">
        <v>29</v>
      </c>
      <c r="C28" t="s">
        <v>487</v>
      </c>
      <c r="D28" t="s">
        <v>572</v>
      </c>
      <c r="E28" t="s">
        <v>829</v>
      </c>
      <c r="F28">
        <v>2009</v>
      </c>
      <c r="G28" s="1">
        <v>59.68</v>
      </c>
      <c r="H28" s="1"/>
      <c r="I28" s="1"/>
      <c r="K28">
        <v>107084</v>
      </c>
      <c r="L28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6.9074074074074079E-4</v>
      </c>
      <c r="M28" s="3">
        <f>IF(Table1271631[[#This Row],[run 1 times]]="",999.99,IF(Table1271631[[#This Row],[run 1 times]]=$O$3,0,MAX(0,ROUND(((Table1271631[[#This Row],[run 1 times]]-$O$3)/$O$3)*$Q$6,2))))</f>
        <v>199.54</v>
      </c>
      <c r="S28">
        <v>2</v>
      </c>
      <c r="T28">
        <v>55</v>
      </c>
      <c r="U28" t="s">
        <v>373</v>
      </c>
      <c r="V28" t="s">
        <v>547</v>
      </c>
      <c r="W28" t="s">
        <v>554</v>
      </c>
      <c r="X28">
        <v>2011</v>
      </c>
      <c r="Y28" s="1">
        <v>7.7465277777777786E-4</v>
      </c>
      <c r="Z28" s="1"/>
      <c r="AA28" s="1"/>
      <c r="AC28" s="6">
        <v>94829</v>
      </c>
      <c r="AD28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7.7465277777777786E-4</v>
      </c>
      <c r="AE28" s="3">
        <f>IF(Table1221101934[[#This Row],[run 1 times]]="",999.99,IF(Table1221101934[[#This Row],[run 1 times]]=$AG$3,0,MAX(0,ROUND(((Table1221101934[[#This Row],[run 1 times]]-$AG$3)/$AG$3)*$AI$6,2))))</f>
        <v>361.06</v>
      </c>
    </row>
    <row r="29" spans="1:31" x14ac:dyDescent="0.3">
      <c r="A29">
        <v>15</v>
      </c>
      <c r="B29">
        <v>41</v>
      </c>
      <c r="C29" t="s">
        <v>257</v>
      </c>
      <c r="D29" t="s">
        <v>572</v>
      </c>
      <c r="E29" t="s">
        <v>567</v>
      </c>
      <c r="F29">
        <v>2009</v>
      </c>
      <c r="G29" s="1" t="s">
        <v>512</v>
      </c>
      <c r="H29" s="1"/>
      <c r="I29" s="1"/>
      <c r="K29">
        <v>117692</v>
      </c>
      <c r="L29" s="2" t="str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29" s="3">
        <f>IF(Table1271631[[#This Row],[run 1 times]]="",999.99,IF(Table1271631[[#This Row],[run 1 times]]=$O$3,0,MAX(0,ROUND(((Table1271631[[#This Row],[run 1 times]]-$O$3)/$O$3)*$Q$6,2))))</f>
        <v>999.99</v>
      </c>
      <c r="S29">
        <v>1</v>
      </c>
      <c r="T29">
        <v>156</v>
      </c>
      <c r="U29" t="s">
        <v>24</v>
      </c>
      <c r="V29" t="s">
        <v>547</v>
      </c>
      <c r="W29" t="s">
        <v>562</v>
      </c>
      <c r="X29">
        <v>2011</v>
      </c>
      <c r="Y29" s="1">
        <v>7.1296296296296299E-4</v>
      </c>
      <c r="Z29" s="1"/>
      <c r="AA29" s="1"/>
      <c r="AC29" s="6">
        <v>104665</v>
      </c>
      <c r="AD29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7.1296296296296299E-4</v>
      </c>
      <c r="AE29" s="3">
        <f>IF(Table1221101934[[#This Row],[run 1 times]]="",999.99,IF(Table1221101934[[#This Row],[run 1 times]]=$AG$3,0,MAX(0,ROUND(((Table1221101934[[#This Row],[run 1 times]]-$AG$3)/$AG$3)*$AI$6,2))))</f>
        <v>237.54</v>
      </c>
    </row>
    <row r="30" spans="1:31" x14ac:dyDescent="0.3">
      <c r="A30">
        <v>17</v>
      </c>
      <c r="B30">
        <v>43</v>
      </c>
      <c r="C30" t="s">
        <v>257</v>
      </c>
      <c r="D30" t="s">
        <v>572</v>
      </c>
      <c r="E30" t="s">
        <v>558</v>
      </c>
      <c r="F30">
        <v>2009</v>
      </c>
      <c r="G30" s="1">
        <v>59.89</v>
      </c>
      <c r="H30" s="1"/>
      <c r="I30" s="1"/>
      <c r="K30">
        <v>109211</v>
      </c>
      <c r="L30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6.9317129629629633E-4</v>
      </c>
      <c r="M30" s="3">
        <f>IF(Table1271631[[#This Row],[run 1 times]]="",999.99,IF(Table1271631[[#This Row],[run 1 times]]=$O$3,0,MAX(0,ROUND(((Table1271631[[#This Row],[run 1 times]]-$O$3)/$O$3)*$Q$6,2))))</f>
        <v>204.43</v>
      </c>
      <c r="S30">
        <v>5</v>
      </c>
      <c r="T30">
        <v>51</v>
      </c>
      <c r="U30" t="s">
        <v>257</v>
      </c>
      <c r="V30" t="s">
        <v>547</v>
      </c>
      <c r="W30" t="s">
        <v>576</v>
      </c>
      <c r="X30">
        <v>2010</v>
      </c>
      <c r="Y30" s="1" t="s">
        <v>510</v>
      </c>
      <c r="Z30" s="1"/>
      <c r="AA30" s="1"/>
      <c r="AC30" s="6">
        <v>92169</v>
      </c>
      <c r="AD30" s="2" t="str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E30" s="3">
        <f>IF(Table1221101934[[#This Row],[run 1 times]]="",999.99,IF(Table1221101934[[#This Row],[run 1 times]]=$AG$3,0,MAX(0,ROUND(((Table1221101934[[#This Row],[run 1 times]]-$AG$3)/$AG$3)*$AI$6,2))))</f>
        <v>999.99</v>
      </c>
    </row>
    <row r="31" spans="1:31" x14ac:dyDescent="0.3">
      <c r="A31">
        <v>21</v>
      </c>
      <c r="B31">
        <v>47</v>
      </c>
      <c r="C31" t="s">
        <v>24</v>
      </c>
      <c r="D31" t="s">
        <v>572</v>
      </c>
      <c r="E31" t="s">
        <v>559</v>
      </c>
      <c r="F31">
        <v>2009</v>
      </c>
      <c r="G31" s="1">
        <v>7.0682870370370366E-4</v>
      </c>
      <c r="H31" s="1"/>
      <c r="I31" s="1"/>
      <c r="K31">
        <v>91622</v>
      </c>
      <c r="L31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7.0682870370370366E-4</v>
      </c>
      <c r="M31" s="3">
        <f>IF(Table1271631[[#This Row],[run 1 times]]="",999.99,IF(Table1271631[[#This Row],[run 1 times]]=$O$3,0,MAX(0,ROUND(((Table1271631[[#This Row],[run 1 times]]-$O$3)/$O$3)*$Q$6,2))))</f>
        <v>231.9</v>
      </c>
      <c r="S31">
        <v>20</v>
      </c>
      <c r="T31">
        <v>111</v>
      </c>
      <c r="U31" t="s">
        <v>479</v>
      </c>
      <c r="V31" t="s">
        <v>547</v>
      </c>
      <c r="W31" t="s">
        <v>563</v>
      </c>
      <c r="X31">
        <v>2010</v>
      </c>
      <c r="Y31" s="1" t="s">
        <v>510</v>
      </c>
      <c r="Z31" s="1"/>
      <c r="AA31" s="1"/>
      <c r="AC31" s="6">
        <v>102356</v>
      </c>
      <c r="AD31" s="2" t="str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E31" s="3">
        <f>IF(Table1221101934[[#This Row],[run 1 times]]="",999.99,IF(Table1221101934[[#This Row],[run 1 times]]=$AG$3,0,MAX(0,ROUND(((Table1221101934[[#This Row],[run 1 times]]-$AG$3)/$AG$3)*$AI$6,2))))</f>
        <v>999.99</v>
      </c>
    </row>
    <row r="32" spans="1:31" x14ac:dyDescent="0.3">
      <c r="A32">
        <v>2</v>
      </c>
      <c r="B32">
        <v>28</v>
      </c>
      <c r="C32" t="s">
        <v>487</v>
      </c>
      <c r="D32" t="s">
        <v>547</v>
      </c>
      <c r="E32" t="s">
        <v>577</v>
      </c>
      <c r="F32">
        <v>2011</v>
      </c>
      <c r="G32" s="1" t="s">
        <v>518</v>
      </c>
      <c r="H32" s="1"/>
      <c r="I32" s="1"/>
      <c r="K32">
        <v>91878</v>
      </c>
      <c r="L32" s="2" t="str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32" s="3">
        <f>IF(Table1271631[[#This Row],[run 1 times]]="",999.99,IF(Table1271631[[#This Row],[run 1 times]]=$O$3,0,MAX(0,ROUND(((Table1271631[[#This Row],[run 1 times]]-$O$3)/$O$3)*$Q$6,2))))</f>
        <v>999.99</v>
      </c>
      <c r="S32">
        <v>17</v>
      </c>
      <c r="T32">
        <v>9</v>
      </c>
      <c r="U32" t="s">
        <v>24</v>
      </c>
      <c r="V32" t="s">
        <v>522</v>
      </c>
      <c r="W32" t="s">
        <v>524</v>
      </c>
      <c r="X32">
        <v>2012</v>
      </c>
      <c r="Y32" s="1">
        <v>56.51</v>
      </c>
      <c r="Z32" s="1"/>
      <c r="AA32" s="1"/>
      <c r="AC32" s="6">
        <v>93755</v>
      </c>
      <c r="AD32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6.5405092592592587E-4</v>
      </c>
      <c r="AE32" s="3">
        <f>IF(Table1221101934[[#This Row],[run 1 times]]="",999.99,IF(Table1221101934[[#This Row],[run 1 times]]=$AG$3,0,MAX(0,ROUND(((Table1221101934[[#This Row],[run 1 times]]-$AG$3)/$AG$3)*$AI$6,2))))</f>
        <v>119.58</v>
      </c>
    </row>
    <row r="33" spans="1:31" x14ac:dyDescent="0.3">
      <c r="A33">
        <v>1</v>
      </c>
      <c r="B33">
        <v>27</v>
      </c>
      <c r="C33" t="s">
        <v>479</v>
      </c>
      <c r="D33" t="s">
        <v>547</v>
      </c>
      <c r="E33" t="s">
        <v>566</v>
      </c>
      <c r="F33">
        <v>2010</v>
      </c>
      <c r="G33" s="1">
        <v>7.3113425925925928E-4</v>
      </c>
      <c r="H33" s="1"/>
      <c r="I33" s="1"/>
      <c r="K33">
        <v>89868</v>
      </c>
      <c r="L33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7.3113425925925928E-4</v>
      </c>
      <c r="M33" s="3">
        <f>IF(Table1271631[[#This Row],[run 1 times]]="",999.99,IF(Table1271631[[#This Row],[run 1 times]]=$O$3,0,MAX(0,ROUND(((Table1271631[[#This Row],[run 1 times]]-$O$3)/$O$3)*$Q$6,2))))</f>
        <v>280.79000000000002</v>
      </c>
      <c r="S33">
        <v>19</v>
      </c>
      <c r="T33">
        <v>7</v>
      </c>
      <c r="U33" t="s">
        <v>24</v>
      </c>
      <c r="V33" t="s">
        <v>522</v>
      </c>
      <c r="W33" t="s">
        <v>527</v>
      </c>
      <c r="X33">
        <v>2012</v>
      </c>
      <c r="Y33" s="1">
        <v>58.36</v>
      </c>
      <c r="Z33" s="1"/>
      <c r="AA33" s="1"/>
      <c r="AC33" s="6">
        <v>93762</v>
      </c>
      <c r="AD33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6.75462962962963E-4</v>
      </c>
      <c r="AE33" s="3">
        <f>IF(Table1221101934[[#This Row],[run 1 times]]="",999.99,IF(Table1221101934[[#This Row],[run 1 times]]=$AG$3,0,MAX(0,ROUND(((Table1221101934[[#This Row],[run 1 times]]-$AG$3)/$AG$3)*$AI$6,2))))</f>
        <v>162.44999999999999</v>
      </c>
    </row>
    <row r="34" spans="1:31" x14ac:dyDescent="0.3">
      <c r="A34">
        <v>4</v>
      </c>
      <c r="B34">
        <v>30</v>
      </c>
      <c r="C34" t="s">
        <v>479</v>
      </c>
      <c r="D34" t="s">
        <v>547</v>
      </c>
      <c r="E34" t="s">
        <v>557</v>
      </c>
      <c r="F34">
        <v>2010</v>
      </c>
      <c r="G34" s="1">
        <v>55.79</v>
      </c>
      <c r="H34" s="1"/>
      <c r="I34" s="1"/>
      <c r="K34">
        <v>89874</v>
      </c>
      <c r="L34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6.4571759259259259E-4</v>
      </c>
      <c r="M34" s="3">
        <f>IF(Table1271631[[#This Row],[run 1 times]]="",999.99,IF(Table1271631[[#This Row],[run 1 times]]=$O$3,0,MAX(0,ROUND(((Table1271631[[#This Row],[run 1 times]]-$O$3)/$O$3)*$Q$6,2))))</f>
        <v>108.96</v>
      </c>
      <c r="S34">
        <v>24</v>
      </c>
      <c r="T34">
        <v>2</v>
      </c>
      <c r="U34" t="s">
        <v>479</v>
      </c>
      <c r="V34" t="s">
        <v>522</v>
      </c>
      <c r="W34" t="s">
        <v>523</v>
      </c>
      <c r="X34">
        <v>2012</v>
      </c>
      <c r="Y34" s="1">
        <v>58.65</v>
      </c>
      <c r="Z34" s="1"/>
      <c r="AA34" s="1"/>
      <c r="AC34" s="6">
        <v>94923</v>
      </c>
      <c r="AD34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6.7881944444444446E-4</v>
      </c>
      <c r="AE34" s="3">
        <f>IF(Table1221101934[[#This Row],[run 1 times]]="",999.99,IF(Table1221101934[[#This Row],[run 1 times]]=$AG$3,0,MAX(0,ROUND(((Table1221101934[[#This Row],[run 1 times]]-$AG$3)/$AG$3)*$AI$6,2))))</f>
        <v>169.17</v>
      </c>
    </row>
    <row r="35" spans="1:31" x14ac:dyDescent="0.3">
      <c r="A35">
        <v>5</v>
      </c>
      <c r="B35">
        <v>31</v>
      </c>
      <c r="C35" t="s">
        <v>24</v>
      </c>
      <c r="D35" t="s">
        <v>547</v>
      </c>
      <c r="E35" t="s">
        <v>835</v>
      </c>
      <c r="F35">
        <v>2011</v>
      </c>
      <c r="G35" s="1">
        <v>7.1030092592592586E-4</v>
      </c>
      <c r="H35" s="1"/>
      <c r="I35" s="1"/>
      <c r="K35">
        <v>88934</v>
      </c>
      <c r="L35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7.1030092592592586E-4</v>
      </c>
      <c r="M35" s="3">
        <f>IF(Table1271631[[#This Row],[run 1 times]]="",999.99,IF(Table1271631[[#This Row],[run 1 times]]=$O$3,0,MAX(0,ROUND(((Table1271631[[#This Row],[run 1 times]]-$O$3)/$O$3)*$Q$6,2))))</f>
        <v>238.88</v>
      </c>
      <c r="S35">
        <v>13</v>
      </c>
      <c r="T35">
        <v>13</v>
      </c>
      <c r="U35" t="s">
        <v>24</v>
      </c>
      <c r="V35" t="s">
        <v>522</v>
      </c>
      <c r="W35" t="s">
        <v>533</v>
      </c>
      <c r="X35">
        <v>2013</v>
      </c>
      <c r="Y35" s="1">
        <v>58.72</v>
      </c>
      <c r="Z35" s="1"/>
      <c r="AA35" s="1"/>
      <c r="AC35" s="6">
        <v>104666</v>
      </c>
      <c r="AD35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6.7962962962962964E-4</v>
      </c>
      <c r="AE35" s="3">
        <f>IF(Table1221101934[[#This Row],[run 1 times]]="",999.99,IF(Table1221101934[[#This Row],[run 1 times]]=$AG$3,0,MAX(0,ROUND(((Table1221101934[[#This Row],[run 1 times]]-$AG$3)/$AG$3)*$AI$6,2))))</f>
        <v>170.79</v>
      </c>
    </row>
    <row r="36" spans="1:31" x14ac:dyDescent="0.3">
      <c r="A36">
        <v>6</v>
      </c>
      <c r="B36">
        <v>32</v>
      </c>
      <c r="C36" t="s">
        <v>487</v>
      </c>
      <c r="D36" t="s">
        <v>547</v>
      </c>
      <c r="E36" t="s">
        <v>833</v>
      </c>
      <c r="F36">
        <v>2011</v>
      </c>
      <c r="G36" s="1">
        <v>57.89</v>
      </c>
      <c r="H36" s="1"/>
      <c r="I36" s="1"/>
      <c r="K36">
        <v>94578</v>
      </c>
      <c r="L36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6.7002314814814811E-4</v>
      </c>
      <c r="M36" s="3">
        <f>IF(Table1271631[[#This Row],[run 1 times]]="",999.99,IF(Table1271631[[#This Row],[run 1 times]]=$O$3,0,MAX(0,ROUND(((Table1271631[[#This Row],[run 1 times]]-$O$3)/$O$3)*$Q$6,2))))</f>
        <v>157.86000000000001</v>
      </c>
      <c r="S36">
        <v>4</v>
      </c>
      <c r="T36">
        <v>23</v>
      </c>
      <c r="U36" t="s">
        <v>24</v>
      </c>
      <c r="V36" t="s">
        <v>522</v>
      </c>
      <c r="W36" t="s">
        <v>525</v>
      </c>
      <c r="X36">
        <v>2012</v>
      </c>
      <c r="Y36" s="1">
        <v>59.09</v>
      </c>
      <c r="Z36" s="1"/>
      <c r="AA36" s="1"/>
      <c r="AC36" s="6">
        <v>93740</v>
      </c>
      <c r="AD36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6.8391203703703713E-4</v>
      </c>
      <c r="AE36" s="3">
        <f>IF(Table1221101934[[#This Row],[run 1 times]]="",999.99,IF(Table1221101934[[#This Row],[run 1 times]]=$AG$3,0,MAX(0,ROUND(((Table1221101934[[#This Row],[run 1 times]]-$AG$3)/$AG$3)*$AI$6,2))))</f>
        <v>179.37</v>
      </c>
    </row>
    <row r="37" spans="1:31" x14ac:dyDescent="0.3">
      <c r="A37">
        <v>7</v>
      </c>
      <c r="B37">
        <v>33</v>
      </c>
      <c r="C37" t="s">
        <v>373</v>
      </c>
      <c r="D37" t="s">
        <v>547</v>
      </c>
      <c r="E37" t="s">
        <v>548</v>
      </c>
      <c r="F37">
        <v>2011</v>
      </c>
      <c r="G37" s="1" t="s">
        <v>512</v>
      </c>
      <c r="H37" s="1"/>
      <c r="I37" s="1"/>
      <c r="K37">
        <v>94824</v>
      </c>
      <c r="L37" s="2" t="str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37" s="3">
        <f>IF(Table1271631[[#This Row],[run 1 times]]="",999.99,IF(Table1271631[[#This Row],[run 1 times]]=$O$3,0,MAX(0,ROUND(((Table1271631[[#This Row],[run 1 times]]-$O$3)/$O$3)*$Q$6,2))))</f>
        <v>999.99</v>
      </c>
      <c r="S37">
        <v>18</v>
      </c>
      <c r="T37">
        <v>8</v>
      </c>
      <c r="U37" t="s">
        <v>257</v>
      </c>
      <c r="V37" t="s">
        <v>522</v>
      </c>
      <c r="W37" t="s">
        <v>532</v>
      </c>
      <c r="X37">
        <v>2013</v>
      </c>
      <c r="Y37" s="1">
        <v>59.13</v>
      </c>
      <c r="Z37" s="1"/>
      <c r="AA37" s="1"/>
      <c r="AC37" s="6">
        <v>117693</v>
      </c>
      <c r="AD37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6.8437499999999998E-4</v>
      </c>
      <c r="AE37" s="3">
        <f>IF(Table1221101934[[#This Row],[run 1 times]]="",999.99,IF(Table1221101934[[#This Row],[run 1 times]]=$AG$3,0,MAX(0,ROUND(((Table1221101934[[#This Row],[run 1 times]]-$AG$3)/$AG$3)*$AI$6,2))))</f>
        <v>180.3</v>
      </c>
    </row>
    <row r="38" spans="1:31" x14ac:dyDescent="0.3">
      <c r="A38">
        <v>8</v>
      </c>
      <c r="B38">
        <v>34</v>
      </c>
      <c r="C38" t="s">
        <v>826</v>
      </c>
      <c r="D38" t="s">
        <v>547</v>
      </c>
      <c r="E38" t="s">
        <v>831</v>
      </c>
      <c r="F38">
        <v>2010</v>
      </c>
      <c r="G38" s="1">
        <v>58.65</v>
      </c>
      <c r="H38" s="1"/>
      <c r="I38" s="1"/>
      <c r="K38">
        <v>92669</v>
      </c>
      <c r="L38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6.7881944444444446E-4</v>
      </c>
      <c r="M38" s="3">
        <f>IF(Table1271631[[#This Row],[run 1 times]]="",999.99,IF(Table1271631[[#This Row],[run 1 times]]=$O$3,0,MAX(0,ROUND(((Table1271631[[#This Row],[run 1 times]]-$O$3)/$O$3)*$Q$6,2))))</f>
        <v>175.55</v>
      </c>
      <c r="S38">
        <v>10</v>
      </c>
      <c r="T38">
        <v>17</v>
      </c>
      <c r="U38" t="s">
        <v>487</v>
      </c>
      <c r="V38" t="s">
        <v>522</v>
      </c>
      <c r="W38" t="s">
        <v>897</v>
      </c>
      <c r="X38">
        <v>2013</v>
      </c>
      <c r="Y38" s="1">
        <v>59.73</v>
      </c>
      <c r="Z38" s="1"/>
      <c r="AA38" s="1"/>
      <c r="AC38" s="6">
        <v>102426</v>
      </c>
      <c r="AD38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6.9131944444444438E-4</v>
      </c>
      <c r="AE38" s="3">
        <f>IF(Table1221101934[[#This Row],[run 1 times]]="",999.99,IF(Table1221101934[[#This Row],[run 1 times]]=$AG$3,0,MAX(0,ROUND(((Table1221101934[[#This Row],[run 1 times]]-$AG$3)/$AG$3)*$AI$6,2))))</f>
        <v>194.2</v>
      </c>
    </row>
    <row r="39" spans="1:31" x14ac:dyDescent="0.3">
      <c r="A39">
        <v>9</v>
      </c>
      <c r="B39">
        <v>35</v>
      </c>
      <c r="C39" t="s">
        <v>479</v>
      </c>
      <c r="D39" t="s">
        <v>547</v>
      </c>
      <c r="E39" t="s">
        <v>549</v>
      </c>
      <c r="F39">
        <v>2011</v>
      </c>
      <c r="G39" s="1" t="s">
        <v>512</v>
      </c>
      <c r="H39" s="1"/>
      <c r="I39" s="1"/>
      <c r="K39">
        <v>89879</v>
      </c>
      <c r="L39" s="2" t="str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39" s="3">
        <f>IF(Table1271631[[#This Row],[run 1 times]]="",999.99,IF(Table1271631[[#This Row],[run 1 times]]=$O$3,0,MAX(0,ROUND(((Table1271631[[#This Row],[run 1 times]]-$O$3)/$O$3)*$Q$6,2))))</f>
        <v>999.99</v>
      </c>
      <c r="S39">
        <v>5</v>
      </c>
      <c r="T39">
        <v>22</v>
      </c>
      <c r="U39" t="s">
        <v>223</v>
      </c>
      <c r="V39" t="s">
        <v>522</v>
      </c>
      <c r="W39" t="s">
        <v>538</v>
      </c>
      <c r="X39">
        <v>2012</v>
      </c>
      <c r="Y39" s="1">
        <v>7.069444444444444E-4</v>
      </c>
      <c r="Z39" s="1"/>
      <c r="AA39" s="1"/>
      <c r="AC39" s="6">
        <v>102457</v>
      </c>
      <c r="AD39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7.069444444444444E-4</v>
      </c>
      <c r="AE39" s="3">
        <f>IF(Table1221101934[[#This Row],[run 1 times]]="",999.99,IF(Table1221101934[[#This Row],[run 1 times]]=$AG$3,0,MAX(0,ROUND(((Table1221101934[[#This Row],[run 1 times]]-$AG$3)/$AG$3)*$AI$6,2))))</f>
        <v>225.49</v>
      </c>
    </row>
    <row r="40" spans="1:31" x14ac:dyDescent="0.3">
      <c r="A40">
        <v>11</v>
      </c>
      <c r="B40">
        <v>37</v>
      </c>
      <c r="C40" t="s">
        <v>24</v>
      </c>
      <c r="D40" t="s">
        <v>547</v>
      </c>
      <c r="E40" t="s">
        <v>832</v>
      </c>
      <c r="F40">
        <v>2011</v>
      </c>
      <c r="G40" s="1">
        <v>7.6018518518518525E-4</v>
      </c>
      <c r="H40" s="1"/>
      <c r="I40" s="1"/>
      <c r="K40">
        <v>89072</v>
      </c>
      <c r="L40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7.6018518518518525E-4</v>
      </c>
      <c r="M40" s="3">
        <f>IF(Table1271631[[#This Row],[run 1 times]]="",999.99,IF(Table1271631[[#This Row],[run 1 times]]=$O$3,0,MAX(0,ROUND(((Table1271631[[#This Row],[run 1 times]]-$O$3)/$O$3)*$Q$6,2))))</f>
        <v>339.23</v>
      </c>
      <c r="S40">
        <v>20</v>
      </c>
      <c r="T40">
        <v>6</v>
      </c>
      <c r="U40" t="s">
        <v>479</v>
      </c>
      <c r="V40" t="s">
        <v>522</v>
      </c>
      <c r="W40" t="s">
        <v>540</v>
      </c>
      <c r="X40">
        <v>2013</v>
      </c>
      <c r="Y40" s="1">
        <v>7.086805555555555E-4</v>
      </c>
      <c r="Z40" s="1"/>
      <c r="AA40" s="1"/>
      <c r="AC40" s="6">
        <v>101429</v>
      </c>
      <c r="AD40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7.086805555555555E-4</v>
      </c>
      <c r="AE40" s="3">
        <f>IF(Table1221101934[[#This Row],[run 1 times]]="",999.99,IF(Table1221101934[[#This Row],[run 1 times]]=$AG$3,0,MAX(0,ROUND(((Table1221101934[[#This Row],[run 1 times]]-$AG$3)/$AG$3)*$AI$6,2))))</f>
        <v>228.96</v>
      </c>
    </row>
    <row r="41" spans="1:31" x14ac:dyDescent="0.3">
      <c r="A41">
        <v>12</v>
      </c>
      <c r="B41">
        <v>38</v>
      </c>
      <c r="C41" t="s">
        <v>826</v>
      </c>
      <c r="D41" t="s">
        <v>547</v>
      </c>
      <c r="E41" t="s">
        <v>828</v>
      </c>
      <c r="F41">
        <v>2011</v>
      </c>
      <c r="G41" s="1">
        <v>7.5462962962962962E-4</v>
      </c>
      <c r="H41" s="1"/>
      <c r="I41" s="1"/>
      <c r="K41">
        <v>110582</v>
      </c>
      <c r="L41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7.5462962962962962E-4</v>
      </c>
      <c r="M41" s="3">
        <f>IF(Table1271631[[#This Row],[run 1 times]]="",999.99,IF(Table1271631[[#This Row],[run 1 times]]=$O$3,0,MAX(0,ROUND(((Table1271631[[#This Row],[run 1 times]]-$O$3)/$O$3)*$Q$6,2))))</f>
        <v>328.06</v>
      </c>
      <c r="S41">
        <v>16</v>
      </c>
      <c r="T41">
        <v>10</v>
      </c>
      <c r="U41" t="s">
        <v>257</v>
      </c>
      <c r="V41" t="s">
        <v>522</v>
      </c>
      <c r="W41" t="s">
        <v>528</v>
      </c>
      <c r="X41">
        <v>2012</v>
      </c>
      <c r="Y41" s="1">
        <v>7.2187499999999997E-4</v>
      </c>
      <c r="Z41" s="1"/>
      <c r="AA41" s="1"/>
      <c r="AC41" s="6">
        <v>102713</v>
      </c>
      <c r="AD41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7.2187499999999997E-4</v>
      </c>
      <c r="AE41" s="3">
        <f>IF(Table1221101934[[#This Row],[run 1 times]]="",999.99,IF(Table1221101934[[#This Row],[run 1 times]]=$AG$3,0,MAX(0,ROUND(((Table1221101934[[#This Row],[run 1 times]]-$AG$3)/$AG$3)*$AI$6,2))))</f>
        <v>255.38</v>
      </c>
    </row>
    <row r="42" spans="1:31" x14ac:dyDescent="0.3">
      <c r="A42">
        <v>13</v>
      </c>
      <c r="B42">
        <v>39</v>
      </c>
      <c r="C42" t="s">
        <v>479</v>
      </c>
      <c r="D42" t="s">
        <v>547</v>
      </c>
      <c r="E42" t="s">
        <v>551</v>
      </c>
      <c r="F42">
        <v>2010</v>
      </c>
      <c r="G42" s="1">
        <v>56.99</v>
      </c>
      <c r="H42" s="1"/>
      <c r="I42" s="1"/>
      <c r="K42">
        <v>89878</v>
      </c>
      <c r="L42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6.596064814814815E-4</v>
      </c>
      <c r="M42" s="3">
        <f>IF(Table1271631[[#This Row],[run 1 times]]="",999.99,IF(Table1271631[[#This Row],[run 1 times]]=$O$3,0,MAX(0,ROUND(((Table1271631[[#This Row],[run 1 times]]-$O$3)/$O$3)*$Q$6,2))))</f>
        <v>136.9</v>
      </c>
      <c r="S42">
        <v>1</v>
      </c>
      <c r="T42">
        <v>26</v>
      </c>
      <c r="U42" t="s">
        <v>257</v>
      </c>
      <c r="V42" t="s">
        <v>522</v>
      </c>
      <c r="W42" t="s">
        <v>526</v>
      </c>
      <c r="X42">
        <v>2012</v>
      </c>
      <c r="Y42" s="1">
        <v>7.2199074074074082E-4</v>
      </c>
      <c r="Z42" s="1"/>
      <c r="AA42" s="1"/>
      <c r="AC42" s="6">
        <v>107311</v>
      </c>
      <c r="AD42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7.2199074074074082E-4</v>
      </c>
      <c r="AE42" s="3">
        <f>IF(Table1221101934[[#This Row],[run 1 times]]="",999.99,IF(Table1221101934[[#This Row],[run 1 times]]=$AG$3,0,MAX(0,ROUND(((Table1221101934[[#This Row],[run 1 times]]-$AG$3)/$AG$3)*$AI$6,2))))</f>
        <v>255.61</v>
      </c>
    </row>
    <row r="43" spans="1:31" x14ac:dyDescent="0.3">
      <c r="A43">
        <v>14</v>
      </c>
      <c r="B43">
        <v>40</v>
      </c>
      <c r="C43" t="s">
        <v>24</v>
      </c>
      <c r="D43" t="s">
        <v>547</v>
      </c>
      <c r="E43" t="s">
        <v>568</v>
      </c>
      <c r="F43">
        <v>2010</v>
      </c>
      <c r="G43" s="1">
        <v>58.43</v>
      </c>
      <c r="H43" s="1"/>
      <c r="I43" s="1"/>
      <c r="K43">
        <v>104647</v>
      </c>
      <c r="L43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6.7627314814814818E-4</v>
      </c>
      <c r="M43" s="3">
        <f>IF(Table1271631[[#This Row],[run 1 times]]="",999.99,IF(Table1271631[[#This Row],[run 1 times]]=$O$3,0,MAX(0,ROUND(((Table1271631[[#This Row],[run 1 times]]-$O$3)/$O$3)*$Q$6,2))))</f>
        <v>170.43</v>
      </c>
      <c r="S43">
        <v>6</v>
      </c>
      <c r="T43">
        <v>21</v>
      </c>
      <c r="U43" t="s">
        <v>24</v>
      </c>
      <c r="V43" t="s">
        <v>522</v>
      </c>
      <c r="W43" t="s">
        <v>529</v>
      </c>
      <c r="X43">
        <v>2013</v>
      </c>
      <c r="Y43" s="1">
        <v>7.3217592592592594E-4</v>
      </c>
      <c r="Z43" s="1"/>
      <c r="AA43" s="1"/>
      <c r="AC43" s="6">
        <v>93764</v>
      </c>
      <c r="AD43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7.3217592592592594E-4</v>
      </c>
      <c r="AE43" s="3">
        <f>IF(Table1221101934[[#This Row],[run 1 times]]="",999.99,IF(Table1221101934[[#This Row],[run 1 times]]=$AG$3,0,MAX(0,ROUND(((Table1221101934[[#This Row],[run 1 times]]-$AG$3)/$AG$3)*$AI$6,2))))</f>
        <v>276.01</v>
      </c>
    </row>
    <row r="44" spans="1:31" x14ac:dyDescent="0.3">
      <c r="A44">
        <v>16</v>
      </c>
      <c r="B44">
        <v>42</v>
      </c>
      <c r="C44" t="s">
        <v>479</v>
      </c>
      <c r="D44" t="s">
        <v>547</v>
      </c>
      <c r="E44" t="s">
        <v>561</v>
      </c>
      <c r="F44">
        <v>2011</v>
      </c>
      <c r="G44" s="1">
        <v>56.17</v>
      </c>
      <c r="H44" s="1"/>
      <c r="I44" s="1"/>
      <c r="K44">
        <v>101426</v>
      </c>
      <c r="L44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6.5011574074074071E-4</v>
      </c>
      <c r="M44" s="3">
        <f>IF(Table1271631[[#This Row],[run 1 times]]="",999.99,IF(Table1271631[[#This Row],[run 1 times]]=$O$3,0,MAX(0,ROUND(((Table1271631[[#This Row],[run 1 times]]-$O$3)/$O$3)*$Q$6,2))))</f>
        <v>117.81</v>
      </c>
      <c r="S44">
        <v>21</v>
      </c>
      <c r="T44">
        <v>5</v>
      </c>
      <c r="U44" t="s">
        <v>479</v>
      </c>
      <c r="V44" t="s">
        <v>522</v>
      </c>
      <c r="W44" t="s">
        <v>541</v>
      </c>
      <c r="X44">
        <v>2013</v>
      </c>
      <c r="Y44" s="1">
        <v>7.3252314814814816E-4</v>
      </c>
      <c r="Z44" s="1"/>
      <c r="AA44" s="1"/>
      <c r="AC44" s="6">
        <v>103278</v>
      </c>
      <c r="AD44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7.3252314814814816E-4</v>
      </c>
      <c r="AE44" s="3">
        <f>IF(Table1221101934[[#This Row],[run 1 times]]="",999.99,IF(Table1221101934[[#This Row],[run 1 times]]=$AG$3,0,MAX(0,ROUND(((Table1221101934[[#This Row],[run 1 times]]-$AG$3)/$AG$3)*$AI$6,2))))</f>
        <v>276.7</v>
      </c>
    </row>
    <row r="45" spans="1:31" x14ac:dyDescent="0.3">
      <c r="A45">
        <v>18</v>
      </c>
      <c r="B45">
        <v>44</v>
      </c>
      <c r="C45" t="s">
        <v>257</v>
      </c>
      <c r="D45" t="s">
        <v>547</v>
      </c>
      <c r="E45" t="s">
        <v>571</v>
      </c>
      <c r="F45">
        <v>2010</v>
      </c>
      <c r="G45" s="1">
        <v>7.7314814814814813E-4</v>
      </c>
      <c r="H45" s="1"/>
      <c r="I45" s="1"/>
      <c r="K45">
        <v>92167</v>
      </c>
      <c r="L45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7.7314814814814813E-4</v>
      </c>
      <c r="M45" s="3">
        <f>IF(Table1271631[[#This Row],[run 1 times]]="",999.99,IF(Table1271631[[#This Row],[run 1 times]]=$O$3,0,MAX(0,ROUND(((Table1271631[[#This Row],[run 1 times]]-$O$3)/$O$3)*$Q$6,2))))</f>
        <v>365.31</v>
      </c>
      <c r="S45">
        <v>15</v>
      </c>
      <c r="T45">
        <v>11</v>
      </c>
      <c r="U45" t="s">
        <v>487</v>
      </c>
      <c r="V45" t="s">
        <v>522</v>
      </c>
      <c r="W45" t="s">
        <v>863</v>
      </c>
      <c r="X45">
        <v>2012</v>
      </c>
      <c r="Y45" s="1">
        <v>7.3298611111111112E-4</v>
      </c>
      <c r="Z45" s="1"/>
      <c r="AA45" s="1"/>
      <c r="AC45" s="6">
        <v>91186</v>
      </c>
      <c r="AD45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7.3298611111111112E-4</v>
      </c>
      <c r="AE45" s="3">
        <f>IF(Table1221101934[[#This Row],[run 1 times]]="",999.99,IF(Table1221101934[[#This Row],[run 1 times]]=$AG$3,0,MAX(0,ROUND(((Table1221101934[[#This Row],[run 1 times]]-$AG$3)/$AG$3)*$AI$6,2))))</f>
        <v>277.63</v>
      </c>
    </row>
    <row r="46" spans="1:31" x14ac:dyDescent="0.3">
      <c r="A46">
        <v>19</v>
      </c>
      <c r="B46">
        <v>45</v>
      </c>
      <c r="C46" t="s">
        <v>223</v>
      </c>
      <c r="D46" t="s">
        <v>547</v>
      </c>
      <c r="E46" t="s">
        <v>574</v>
      </c>
      <c r="F46">
        <v>2010</v>
      </c>
      <c r="G46" s="1">
        <v>53.37</v>
      </c>
      <c r="H46" s="1"/>
      <c r="I46" s="1"/>
      <c r="K46">
        <v>93284</v>
      </c>
      <c r="L46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6.1770833333333328E-4</v>
      </c>
      <c r="M46" s="3">
        <f>IF(Table1271631[[#This Row],[run 1 times]]="",999.99,IF(Table1271631[[#This Row],[run 1 times]]=$O$3,0,MAX(0,ROUND(((Table1271631[[#This Row],[run 1 times]]-$O$3)/$O$3)*$Q$6,2))))</f>
        <v>52.62</v>
      </c>
      <c r="S46">
        <v>12</v>
      </c>
      <c r="T46">
        <v>14</v>
      </c>
      <c r="U46" t="s">
        <v>257</v>
      </c>
      <c r="V46" t="s">
        <v>522</v>
      </c>
      <c r="W46" t="s">
        <v>530</v>
      </c>
      <c r="X46">
        <v>2013</v>
      </c>
      <c r="Y46" s="1">
        <v>7.3831018518518516E-4</v>
      </c>
      <c r="Z46" s="1"/>
      <c r="AA46" s="1"/>
      <c r="AC46" s="6">
        <v>112516</v>
      </c>
      <c r="AD46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7.3831018518518516E-4</v>
      </c>
      <c r="AE46" s="3">
        <f>IF(Table1221101934[[#This Row],[run 1 times]]="",999.99,IF(Table1221101934[[#This Row],[run 1 times]]=$AG$3,0,MAX(0,ROUND(((Table1221101934[[#This Row],[run 1 times]]-$AG$3)/$AG$3)*$AI$6,2))))</f>
        <v>288.29000000000002</v>
      </c>
    </row>
    <row r="47" spans="1:31" x14ac:dyDescent="0.3">
      <c r="A47">
        <v>20</v>
      </c>
      <c r="B47">
        <v>46</v>
      </c>
      <c r="C47" t="s">
        <v>826</v>
      </c>
      <c r="D47" t="s">
        <v>547</v>
      </c>
      <c r="E47" t="s">
        <v>827</v>
      </c>
      <c r="F47">
        <v>2010</v>
      </c>
      <c r="G47" s="1">
        <v>54.29</v>
      </c>
      <c r="H47" s="1"/>
      <c r="I47" s="1"/>
      <c r="K47">
        <v>88769</v>
      </c>
      <c r="L47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6.2835648148148147E-4</v>
      </c>
      <c r="M47" s="3">
        <f>IF(Table1271631[[#This Row],[run 1 times]]="",999.99,IF(Table1271631[[#This Row],[run 1 times]]=$O$3,0,MAX(0,ROUND(((Table1271631[[#This Row],[run 1 times]]-$O$3)/$O$3)*$Q$6,2))))</f>
        <v>74.040000000000006</v>
      </c>
      <c r="S47">
        <v>25</v>
      </c>
      <c r="T47">
        <v>1</v>
      </c>
      <c r="U47" t="s">
        <v>479</v>
      </c>
      <c r="V47" t="s">
        <v>522</v>
      </c>
      <c r="W47" t="s">
        <v>853</v>
      </c>
      <c r="X47">
        <v>2013</v>
      </c>
      <c r="Y47" s="1">
        <v>7.4050925925925922E-4</v>
      </c>
      <c r="Z47" s="1"/>
      <c r="AA47" s="1"/>
      <c r="AC47" s="6">
        <v>111694</v>
      </c>
      <c r="AD47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7.4050925925925922E-4</v>
      </c>
      <c r="AE47" s="3">
        <f>IF(Table1221101934[[#This Row],[run 1 times]]="",999.99,IF(Table1221101934[[#This Row],[run 1 times]]=$AG$3,0,MAX(0,ROUND(((Table1221101934[[#This Row],[run 1 times]]-$AG$3)/$AG$3)*$AI$6,2))))</f>
        <v>292.69</v>
      </c>
    </row>
    <row r="48" spans="1:31" x14ac:dyDescent="0.3">
      <c r="A48">
        <v>22</v>
      </c>
      <c r="B48">
        <v>48</v>
      </c>
      <c r="C48" t="s">
        <v>373</v>
      </c>
      <c r="D48" t="s">
        <v>547</v>
      </c>
      <c r="E48" t="s">
        <v>550</v>
      </c>
      <c r="F48">
        <v>2010</v>
      </c>
      <c r="G48" s="1">
        <v>7.2337962962962959E-4</v>
      </c>
      <c r="H48" s="1"/>
      <c r="I48" s="1"/>
      <c r="K48">
        <v>102764</v>
      </c>
      <c r="L48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7.2337962962962959E-4</v>
      </c>
      <c r="M48" s="3">
        <f>IF(Table1271631[[#This Row],[run 1 times]]="",999.99,IF(Table1271631[[#This Row],[run 1 times]]=$O$3,0,MAX(0,ROUND(((Table1271631[[#This Row],[run 1 times]]-$O$3)/$O$3)*$Q$6,2))))</f>
        <v>265.19</v>
      </c>
      <c r="S48">
        <v>7</v>
      </c>
      <c r="T48">
        <v>20</v>
      </c>
      <c r="U48" t="s">
        <v>257</v>
      </c>
      <c r="V48" t="s">
        <v>522</v>
      </c>
      <c r="W48" t="s">
        <v>542</v>
      </c>
      <c r="X48">
        <v>2013</v>
      </c>
      <c r="Y48" s="1">
        <v>7.484953703703704E-4</v>
      </c>
      <c r="Z48" s="1"/>
      <c r="AA48" s="1"/>
      <c r="AC48" s="6">
        <v>118512</v>
      </c>
      <c r="AD48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7.484953703703704E-4</v>
      </c>
      <c r="AE48" s="3">
        <f>IF(Table1221101934[[#This Row],[run 1 times]]="",999.99,IF(Table1221101934[[#This Row],[run 1 times]]=$AG$3,0,MAX(0,ROUND(((Table1221101934[[#This Row],[run 1 times]]-$AG$3)/$AG$3)*$AI$6,2))))</f>
        <v>308.68</v>
      </c>
    </row>
    <row r="49" spans="1:31" x14ac:dyDescent="0.3">
      <c r="A49">
        <v>23</v>
      </c>
      <c r="B49">
        <v>49</v>
      </c>
      <c r="C49" t="s">
        <v>479</v>
      </c>
      <c r="D49" t="s">
        <v>547</v>
      </c>
      <c r="E49" t="s">
        <v>575</v>
      </c>
      <c r="F49">
        <v>2011</v>
      </c>
      <c r="G49" s="1">
        <v>51.11</v>
      </c>
      <c r="H49" s="1"/>
      <c r="I49" s="1"/>
      <c r="K49">
        <v>94621</v>
      </c>
      <c r="L49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5.9155092592592592E-4</v>
      </c>
      <c r="M49" s="3">
        <f>IF(Table1271631[[#This Row],[run 1 times]]="",999.99,IF(Table1271631[[#This Row],[run 1 times]]=$O$3,0,MAX(0,ROUND(((Table1271631[[#This Row],[run 1 times]]-$O$3)/$O$3)*$Q$6,2))))</f>
        <v>0</v>
      </c>
      <c r="S49">
        <v>2</v>
      </c>
      <c r="T49">
        <v>25</v>
      </c>
      <c r="U49" t="s">
        <v>257</v>
      </c>
      <c r="V49" t="s">
        <v>522</v>
      </c>
      <c r="W49" t="s">
        <v>543</v>
      </c>
      <c r="X49">
        <v>2013</v>
      </c>
      <c r="Y49" s="1">
        <v>7.6724537037037039E-4</v>
      </c>
      <c r="Z49" s="1"/>
      <c r="AA49" s="1"/>
      <c r="AC49" s="6">
        <v>121965</v>
      </c>
      <c r="AD49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7.6724537037037039E-4</v>
      </c>
      <c r="AE49" s="3">
        <f>IF(Table1221101934[[#This Row],[run 1 times]]="",999.99,IF(Table1221101934[[#This Row],[run 1 times]]=$AG$3,0,MAX(0,ROUND(((Table1221101934[[#This Row],[run 1 times]]-$AG$3)/$AG$3)*$AI$6,2))))</f>
        <v>346.22</v>
      </c>
    </row>
    <row r="50" spans="1:31" x14ac:dyDescent="0.3">
      <c r="A50">
        <v>24</v>
      </c>
      <c r="B50">
        <v>50</v>
      </c>
      <c r="C50" t="s">
        <v>479</v>
      </c>
      <c r="D50" t="s">
        <v>547</v>
      </c>
      <c r="E50" t="s">
        <v>555</v>
      </c>
      <c r="F50">
        <v>2011</v>
      </c>
      <c r="G50" s="1" t="s">
        <v>512</v>
      </c>
      <c r="H50" s="1"/>
      <c r="I50" s="1"/>
      <c r="K50">
        <v>94624</v>
      </c>
      <c r="L50" s="2" t="str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50" s="3">
        <f>IF(Table1271631[[#This Row],[run 1 times]]="",999.99,IF(Table1271631[[#This Row],[run 1 times]]=$O$3,0,MAX(0,ROUND(((Table1271631[[#This Row],[run 1 times]]-$O$3)/$O$3)*$Q$6,2))))</f>
        <v>999.99</v>
      </c>
      <c r="S50">
        <v>11</v>
      </c>
      <c r="T50">
        <v>15</v>
      </c>
      <c r="U50" t="s">
        <v>479</v>
      </c>
      <c r="V50" t="s">
        <v>522</v>
      </c>
      <c r="W50" t="s">
        <v>545</v>
      </c>
      <c r="X50">
        <v>2013</v>
      </c>
      <c r="Y50" s="1">
        <v>7.7233796296296306E-4</v>
      </c>
      <c r="Z50" s="1"/>
      <c r="AA50" s="1"/>
      <c r="AC50" s="6">
        <v>103279</v>
      </c>
      <c r="AD50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7.7233796296296306E-4</v>
      </c>
      <c r="AE50" s="3">
        <f>IF(Table1221101934[[#This Row],[run 1 times]]="",999.99,IF(Table1221101934[[#This Row],[run 1 times]]=$AG$3,0,MAX(0,ROUND(((Table1221101934[[#This Row],[run 1 times]]-$AG$3)/$AG$3)*$AI$6,2))))</f>
        <v>356.42</v>
      </c>
    </row>
    <row r="51" spans="1:31" x14ac:dyDescent="0.3">
      <c r="A51">
        <v>25</v>
      </c>
      <c r="B51">
        <v>51</v>
      </c>
      <c r="C51" t="s">
        <v>257</v>
      </c>
      <c r="D51" t="s">
        <v>547</v>
      </c>
      <c r="E51" t="s">
        <v>576</v>
      </c>
      <c r="F51">
        <v>2010</v>
      </c>
      <c r="G51" s="1" t="s">
        <v>512</v>
      </c>
      <c r="H51" s="1"/>
      <c r="I51" s="1"/>
      <c r="K51">
        <v>92169</v>
      </c>
      <c r="L51" s="2" t="str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51" s="3">
        <f>IF(Table1271631[[#This Row],[run 1 times]]="",999.99,IF(Table1271631[[#This Row],[run 1 times]]=$O$3,0,MAX(0,ROUND(((Table1271631[[#This Row],[run 1 times]]-$O$3)/$O$3)*$Q$6,2))))</f>
        <v>999.99</v>
      </c>
      <c r="S51">
        <v>9</v>
      </c>
      <c r="T51">
        <v>18</v>
      </c>
      <c r="U51" t="s">
        <v>487</v>
      </c>
      <c r="V51" t="s">
        <v>522</v>
      </c>
      <c r="W51" t="s">
        <v>870</v>
      </c>
      <c r="X51">
        <v>2013</v>
      </c>
      <c r="Y51" s="1">
        <v>7.9965277777777782E-4</v>
      </c>
      <c r="Z51" s="1"/>
      <c r="AA51" s="1"/>
      <c r="AC51" s="6">
        <v>121030</v>
      </c>
      <c r="AD51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7.9965277777777782E-4</v>
      </c>
      <c r="AE51" s="3">
        <f>IF(Table1221101934[[#This Row],[run 1 times]]="",999.99,IF(Table1221101934[[#This Row],[run 1 times]]=$AG$3,0,MAX(0,ROUND(((Table1221101934[[#This Row],[run 1 times]]-$AG$3)/$AG$3)*$AI$6,2))))</f>
        <v>411.11</v>
      </c>
    </row>
    <row r="52" spans="1:31" x14ac:dyDescent="0.3">
      <c r="A52">
        <v>26</v>
      </c>
      <c r="B52">
        <v>52</v>
      </c>
      <c r="C52" t="s">
        <v>24</v>
      </c>
      <c r="D52" t="s">
        <v>547</v>
      </c>
      <c r="E52" t="s">
        <v>565</v>
      </c>
      <c r="F52">
        <v>2011</v>
      </c>
      <c r="G52" s="1">
        <v>54.08</v>
      </c>
      <c r="H52" s="1"/>
      <c r="I52" s="1"/>
      <c r="K52">
        <v>89752</v>
      </c>
      <c r="L52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6.2592592592592593E-4</v>
      </c>
      <c r="M52" s="3">
        <f>IF(Table1271631[[#This Row],[run 1 times]]="",999.99,IF(Table1271631[[#This Row],[run 1 times]]=$O$3,0,MAX(0,ROUND(((Table1271631[[#This Row],[run 1 times]]-$O$3)/$O$3)*$Q$6,2))))</f>
        <v>69.150000000000006</v>
      </c>
      <c r="S52">
        <v>3</v>
      </c>
      <c r="T52">
        <v>24</v>
      </c>
      <c r="U52" t="s">
        <v>257</v>
      </c>
      <c r="V52" t="s">
        <v>522</v>
      </c>
      <c r="W52" t="s">
        <v>535</v>
      </c>
      <c r="X52">
        <v>2012</v>
      </c>
      <c r="Y52" s="1">
        <v>8.2337962962962963E-4</v>
      </c>
      <c r="Z52" s="1"/>
      <c r="AA52" s="1"/>
      <c r="AC52" s="6">
        <v>117000</v>
      </c>
      <c r="AD52" s="2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8.2337962962962963E-4</v>
      </c>
      <c r="AE52" s="3">
        <f>IF(Table1221101934[[#This Row],[run 1 times]]="",999.99,IF(Table1221101934[[#This Row],[run 1 times]]=$AG$3,0,MAX(0,ROUND(((Table1221101934[[#This Row],[run 1 times]]-$AG$3)/$AG$3)*$AI$6,2))))</f>
        <v>458.62</v>
      </c>
    </row>
    <row r="53" spans="1:31" x14ac:dyDescent="0.3">
      <c r="A53">
        <v>27</v>
      </c>
      <c r="B53">
        <v>54</v>
      </c>
      <c r="C53" t="s">
        <v>257</v>
      </c>
      <c r="D53" t="s">
        <v>547</v>
      </c>
      <c r="E53" t="s">
        <v>570</v>
      </c>
      <c r="F53">
        <v>2010</v>
      </c>
      <c r="G53" s="1">
        <v>6.9537037037037039E-4</v>
      </c>
      <c r="H53" s="1"/>
      <c r="I53" s="1"/>
      <c r="K53">
        <v>102723</v>
      </c>
      <c r="L53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6.9537037037037039E-4</v>
      </c>
      <c r="M53" s="3">
        <f>IF(Table1271631[[#This Row],[run 1 times]]="",999.99,IF(Table1271631[[#This Row],[run 1 times]]=$O$3,0,MAX(0,ROUND(((Table1271631[[#This Row],[run 1 times]]-$O$3)/$O$3)*$Q$6,2))))</f>
        <v>208.85</v>
      </c>
      <c r="S53">
        <v>8</v>
      </c>
      <c r="T53">
        <v>19</v>
      </c>
      <c r="U53" t="s">
        <v>24</v>
      </c>
      <c r="V53" t="s">
        <v>522</v>
      </c>
      <c r="W53" t="s">
        <v>546</v>
      </c>
      <c r="X53">
        <v>2012</v>
      </c>
      <c r="Y53" s="1" t="s">
        <v>512</v>
      </c>
      <c r="Z53" s="1"/>
      <c r="AA53" s="1"/>
      <c r="AC53" s="6">
        <v>102776</v>
      </c>
      <c r="AD53" s="2" t="str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E53" s="3">
        <f>IF(Table1221101934[[#This Row],[run 1 times]]="",999.99,IF(Table1221101934[[#This Row],[run 1 times]]=$AG$3,0,MAX(0,ROUND(((Table1221101934[[#This Row],[run 1 times]]-$AG$3)/$AG$3)*$AI$6,2))))</f>
        <v>999.99</v>
      </c>
    </row>
    <row r="54" spans="1:31" x14ac:dyDescent="0.3">
      <c r="A54">
        <v>28</v>
      </c>
      <c r="B54">
        <v>55</v>
      </c>
      <c r="C54" t="s">
        <v>373</v>
      </c>
      <c r="D54" t="s">
        <v>547</v>
      </c>
      <c r="E54" t="s">
        <v>554</v>
      </c>
      <c r="F54">
        <v>2011</v>
      </c>
      <c r="G54" s="1">
        <v>7.7291666666666665E-4</v>
      </c>
      <c r="H54" s="1"/>
      <c r="I54" s="1"/>
      <c r="K54">
        <v>94829</v>
      </c>
      <c r="L54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7.7291666666666665E-4</v>
      </c>
      <c r="M54" s="3">
        <f>IF(Table1271631[[#This Row],[run 1 times]]="",999.99,IF(Table1271631[[#This Row],[run 1 times]]=$O$3,0,MAX(0,ROUND(((Table1271631[[#This Row],[run 1 times]]-$O$3)/$O$3)*$Q$6,2))))</f>
        <v>364.85</v>
      </c>
      <c r="S54">
        <v>22</v>
      </c>
      <c r="T54">
        <v>4</v>
      </c>
      <c r="U54" t="s">
        <v>24</v>
      </c>
      <c r="V54" t="s">
        <v>522</v>
      </c>
      <c r="W54" t="s">
        <v>539</v>
      </c>
      <c r="X54">
        <v>2012</v>
      </c>
      <c r="Y54" s="1" t="s">
        <v>512</v>
      </c>
      <c r="Z54" s="1"/>
      <c r="AA54" s="1"/>
      <c r="AC54" s="6">
        <v>102777</v>
      </c>
      <c r="AD54" s="2" t="str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E54" s="3">
        <f>IF(Table1221101934[[#This Row],[run 1 times]]="",999.99,IF(Table1221101934[[#This Row],[run 1 times]]=$AG$3,0,MAX(0,ROUND(((Table1221101934[[#This Row],[run 1 times]]-$AG$3)/$AG$3)*$AI$6,2))))</f>
        <v>999.99</v>
      </c>
    </row>
    <row r="55" spans="1:31" x14ac:dyDescent="0.3">
      <c r="A55">
        <v>29</v>
      </c>
      <c r="B55">
        <v>156</v>
      </c>
      <c r="C55" t="s">
        <v>24</v>
      </c>
      <c r="D55" t="s">
        <v>547</v>
      </c>
      <c r="E55" t="s">
        <v>562</v>
      </c>
      <c r="F55">
        <v>2011</v>
      </c>
      <c r="G55" s="1">
        <v>7.0231481481481479E-4</v>
      </c>
      <c r="H55" s="1"/>
      <c r="I55" s="1"/>
      <c r="K55">
        <v>104665</v>
      </c>
      <c r="L55" s="2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7.0231481481481479E-4</v>
      </c>
      <c r="M55" s="3">
        <f>IF(Table1271631[[#This Row],[run 1 times]]="",999.99,IF(Table1271631[[#This Row],[run 1 times]]=$O$3,0,MAX(0,ROUND(((Table1271631[[#This Row],[run 1 times]]-$O$3)/$O$3)*$Q$6,2))))</f>
        <v>222.82</v>
      </c>
      <c r="S55">
        <v>23</v>
      </c>
      <c r="T55">
        <v>3</v>
      </c>
      <c r="U55" t="s">
        <v>487</v>
      </c>
      <c r="V55" t="s">
        <v>522</v>
      </c>
      <c r="W55" t="s">
        <v>867</v>
      </c>
      <c r="X55">
        <v>2012</v>
      </c>
      <c r="Y55" s="1" t="s">
        <v>512</v>
      </c>
      <c r="Z55" s="1"/>
      <c r="AA55" s="1"/>
      <c r="AC55" s="6">
        <v>102360</v>
      </c>
      <c r="AD55" s="2" t="str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E55" s="3">
        <f>IF(Table1221101934[[#This Row],[run 1 times]]="",999.99,IF(Table1221101934[[#This Row],[run 1 times]]=$AG$3,0,MAX(0,ROUND(((Table1221101934[[#This Row],[run 1 times]]-$AG$3)/$AG$3)*$AI$6,2))))</f>
        <v>999.99</v>
      </c>
    </row>
    <row r="56" spans="1:31" x14ac:dyDescent="0.3">
      <c r="A56">
        <v>10</v>
      </c>
      <c r="B56">
        <v>111</v>
      </c>
      <c r="C56" t="s">
        <v>479</v>
      </c>
      <c r="D56" t="s">
        <v>547</v>
      </c>
      <c r="E56" t="s">
        <v>563</v>
      </c>
      <c r="F56">
        <v>2010</v>
      </c>
      <c r="G56" s="1" t="s">
        <v>510</v>
      </c>
      <c r="H56" s="1"/>
      <c r="I56" s="1"/>
      <c r="K56">
        <v>102356</v>
      </c>
      <c r="L56" s="2" t="str">
        <f>_xlfn.LET(_xlpm.x,Table1271631[[#This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56" s="3">
        <f>IF(Table1271631[[#This Row],[run 1 times]]="",999.99,IF(Table1271631[[#This Row],[run 1 times]]=$O$3,0,MAX(0,ROUND(((Table1271631[[#This Row],[run 1 times]]-$O$3)/$O$3)*$Q$6,2))))</f>
        <v>999.99</v>
      </c>
      <c r="S56">
        <v>14</v>
      </c>
      <c r="T56">
        <v>12</v>
      </c>
      <c r="U56" t="s">
        <v>487</v>
      </c>
      <c r="V56" t="s">
        <v>522</v>
      </c>
      <c r="W56" t="s">
        <v>856</v>
      </c>
      <c r="X56">
        <v>2012</v>
      </c>
      <c r="Y56" s="1" t="s">
        <v>512</v>
      </c>
      <c r="Z56" s="1"/>
      <c r="AA56" s="1"/>
      <c r="AC56" s="6">
        <v>108840</v>
      </c>
      <c r="AD56" s="2" t="str">
        <f>_xlfn.LET(_xlpm.x,Table1221101934[[#This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E56" s="3">
        <f>IF(Table1221101934[[#This Row],[run 1 times]]="",999.99,IF(Table1221101934[[#This Row],[run 1 times]]=$AG$3,0,MAX(0,ROUND(((Table1221101934[[#This Row],[run 1 times]]-$AG$3)/$AG$3)*$AI$6,2))))</f>
        <v>999.99</v>
      </c>
    </row>
  </sheetData>
  <mergeCells count="2">
    <mergeCell ref="A1:Q1"/>
    <mergeCell ref="S1:AI1"/>
  </mergeCells>
  <pageMargins left="0.7" right="0.7" top="0.75" bottom="0.75" header="0.3" footer="0.3"/>
  <tableParts count="6">
    <tablePart r:id="rId1"/>
    <tablePart r:id="rId2"/>
    <tablePart r:id="rId3"/>
    <tablePart r:id="rId4"/>
    <tablePart r:id="rId5"/>
    <tablePart r:id="rId6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C0BF5-8F74-435C-A705-F6BA5245FD5E}">
  <dimension ref="A1:AI56"/>
  <sheetViews>
    <sheetView workbookViewId="0">
      <selection activeCell="I11" sqref="I11"/>
    </sheetView>
  </sheetViews>
  <sheetFormatPr defaultRowHeight="14.4" x14ac:dyDescent="0.3"/>
  <cols>
    <col min="1" max="1" width="13.5546875" customWidth="1"/>
    <col min="3" max="3" width="12.109375" customWidth="1"/>
    <col min="5" max="5" width="14.88671875" bestFit="1" customWidth="1"/>
    <col min="6" max="6" width="12.5546875" customWidth="1"/>
    <col min="7" max="7" width="15.21875" customWidth="1"/>
    <col min="8" max="8" width="17.6640625" customWidth="1"/>
    <col min="9" max="9" width="16.44140625" customWidth="1"/>
    <col min="10" max="10" width="12.21875" customWidth="1"/>
    <col min="11" max="11" width="13.109375" customWidth="1"/>
    <col min="12" max="12" width="11.6640625" customWidth="1"/>
    <col min="13" max="13" width="12.109375" customWidth="1"/>
    <col min="15" max="15" width="14.5546875" customWidth="1"/>
    <col min="16" max="16" width="15.5546875" customWidth="1"/>
    <col min="17" max="17" width="18.5546875" customWidth="1"/>
  </cols>
  <sheetData>
    <row r="1" spans="1:35" ht="21" x14ac:dyDescent="0.4">
      <c r="A1" s="8" t="s">
        <v>601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S1" s="8" t="s">
        <v>602</v>
      </c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</row>
    <row r="2" spans="1:35" x14ac:dyDescent="0.3">
      <c r="A2" t="s">
        <v>459</v>
      </c>
      <c r="B2" t="s">
        <v>460</v>
      </c>
      <c r="C2" t="s">
        <v>461</v>
      </c>
      <c r="D2" t="s">
        <v>462</v>
      </c>
      <c r="E2" t="s">
        <v>463</v>
      </c>
      <c r="F2" t="s">
        <v>464</v>
      </c>
      <c r="G2" t="s">
        <v>465</v>
      </c>
      <c r="H2" t="s">
        <v>466</v>
      </c>
      <c r="I2" t="s">
        <v>467</v>
      </c>
      <c r="J2" t="s">
        <v>468</v>
      </c>
      <c r="K2" t="s">
        <v>469</v>
      </c>
      <c r="L2" t="s">
        <v>470</v>
      </c>
      <c r="M2" t="s">
        <v>471</v>
      </c>
      <c r="O2" t="s">
        <v>476</v>
      </c>
      <c r="P2" t="s">
        <v>477</v>
      </c>
      <c r="Q2" t="s">
        <v>478</v>
      </c>
      <c r="S2" t="s">
        <v>459</v>
      </c>
      <c r="T2" t="s">
        <v>460</v>
      </c>
      <c r="U2" t="s">
        <v>461</v>
      </c>
      <c r="V2" t="s">
        <v>462</v>
      </c>
      <c r="W2" t="s">
        <v>463</v>
      </c>
      <c r="X2" t="s">
        <v>464</v>
      </c>
      <c r="Y2" t="s">
        <v>465</v>
      </c>
      <c r="Z2" t="s">
        <v>466</v>
      </c>
      <c r="AA2" t="s">
        <v>467</v>
      </c>
      <c r="AB2" t="s">
        <v>468</v>
      </c>
      <c r="AC2" t="s">
        <v>469</v>
      </c>
      <c r="AD2" t="s">
        <v>470</v>
      </c>
      <c r="AE2" t="s">
        <v>471</v>
      </c>
      <c r="AG2" t="s">
        <v>476</v>
      </c>
      <c r="AH2" t="s">
        <v>477</v>
      </c>
      <c r="AI2" t="s">
        <v>478</v>
      </c>
    </row>
    <row r="3" spans="1:35" x14ac:dyDescent="0.3">
      <c r="A3">
        <v>14</v>
      </c>
      <c r="B3">
        <v>92</v>
      </c>
      <c r="C3" t="s">
        <v>487</v>
      </c>
      <c r="D3" t="s">
        <v>572</v>
      </c>
      <c r="E3" t="s">
        <v>844</v>
      </c>
      <c r="F3">
        <v>2008</v>
      </c>
      <c r="G3" s="1">
        <v>50.82</v>
      </c>
      <c r="H3" s="1"/>
      <c r="I3" s="1"/>
      <c r="K3">
        <v>82356</v>
      </c>
      <c r="L3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5.8819444444444446E-4</v>
      </c>
      <c r="M3" s="3">
        <f>IF(Table127163191[[#This Row],[run 1 times]]="",999.99,IF(Table127163191[[#This Row],[run 1 times]]=$O$3,0,MAX(0,ROUND(((Table127163191[[#This Row],[run 1 times]]-$O$3)/$O$3)*$Q$6,2))))</f>
        <v>0</v>
      </c>
      <c r="O3" s="1">
        <f>MIN(Table127163191[run 1 times])</f>
        <v>5.8819444444444446E-4</v>
      </c>
      <c r="P3" s="1" t="e">
        <f>MIN(#REF!)</f>
        <v>#REF!</v>
      </c>
      <c r="Q3" s="1" t="e">
        <f>MIN(#REF!)</f>
        <v>#REF!</v>
      </c>
      <c r="S3">
        <v>20</v>
      </c>
      <c r="T3">
        <v>57</v>
      </c>
      <c r="U3" t="s">
        <v>373</v>
      </c>
      <c r="V3" t="s">
        <v>522</v>
      </c>
      <c r="W3" t="s">
        <v>674</v>
      </c>
      <c r="X3">
        <v>2012</v>
      </c>
      <c r="Y3" s="1">
        <v>57.29</v>
      </c>
      <c r="Z3" s="1"/>
      <c r="AA3" s="1"/>
      <c r="AC3">
        <v>122060</v>
      </c>
      <c r="AD3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6.630787037037037E-4</v>
      </c>
      <c r="AE3" s="3">
        <f>IF(Table122110193494[[#This Row],[run 1 times]]="",999.99,IF(Table122110193494[[#This Row],[run 1 times]]=$AG$3,0,MAX(0,ROUND(((Table122110193494[[#This Row],[run 1 times]]-$AG$3)/$AG$3)*$AI$6,2))))</f>
        <v>152.29</v>
      </c>
      <c r="AG3" s="1">
        <f>MIN(Table122110193494[run 1 times])</f>
        <v>5.8784722222222224E-4</v>
      </c>
      <c r="AH3" s="1" t="e">
        <f>MIN(#REF!)</f>
        <v>#REF!</v>
      </c>
      <c r="AI3" s="1" t="e">
        <f>MIN(#REF!)</f>
        <v>#REF!</v>
      </c>
    </row>
    <row r="4" spans="1:35" x14ac:dyDescent="0.3">
      <c r="A4">
        <v>21</v>
      </c>
      <c r="B4">
        <v>99</v>
      </c>
      <c r="C4" t="s">
        <v>487</v>
      </c>
      <c r="D4" t="s">
        <v>547</v>
      </c>
      <c r="E4" t="s">
        <v>847</v>
      </c>
      <c r="F4">
        <v>2011</v>
      </c>
      <c r="G4" s="1">
        <v>51.16</v>
      </c>
      <c r="H4" s="1"/>
      <c r="I4" s="1"/>
      <c r="K4">
        <v>94634</v>
      </c>
      <c r="L4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5.9212962962962962E-4</v>
      </c>
      <c r="M4" s="3">
        <f>IF(Table127163191[[#This Row],[run 1 times]]="",999.99,IF(Table127163191[[#This Row],[run 1 times]]=$O$3,0,MAX(0,ROUND(((Table127163191[[#This Row],[run 1 times]]-$O$3)/$O$3)*$Q$6,2))))</f>
        <v>7.96</v>
      </c>
      <c r="S4">
        <v>8</v>
      </c>
      <c r="T4">
        <v>70</v>
      </c>
      <c r="U4" t="s">
        <v>479</v>
      </c>
      <c r="V4" t="s">
        <v>522</v>
      </c>
      <c r="W4" t="s">
        <v>700</v>
      </c>
      <c r="X4">
        <v>2013</v>
      </c>
      <c r="Y4" s="1">
        <v>57.4</v>
      </c>
      <c r="Z4" s="1"/>
      <c r="AA4" s="1"/>
      <c r="AC4">
        <v>101432</v>
      </c>
      <c r="AD4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6.6435185185185184E-4</v>
      </c>
      <c r="AE4" s="3">
        <f>IF(Table122110193494[[#This Row],[run 1 times]]="",999.99,IF(Table122110193494[[#This Row],[run 1 times]]=$AG$3,0,MAX(0,ROUND(((Table122110193494[[#This Row],[run 1 times]]-$AG$3)/$AG$3)*$AI$6,2))))</f>
        <v>154.87</v>
      </c>
    </row>
    <row r="5" spans="1:35" x14ac:dyDescent="0.3">
      <c r="A5">
        <v>31</v>
      </c>
      <c r="B5">
        <v>109</v>
      </c>
      <c r="C5" t="s">
        <v>24</v>
      </c>
      <c r="D5" t="s">
        <v>572</v>
      </c>
      <c r="E5" t="s">
        <v>761</v>
      </c>
      <c r="F5">
        <v>2009</v>
      </c>
      <c r="G5" s="1">
        <v>51.61</v>
      </c>
      <c r="H5" s="1"/>
      <c r="I5" s="1"/>
      <c r="K5">
        <v>84474</v>
      </c>
      <c r="L5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5.9733796296296293E-4</v>
      </c>
      <c r="M5" s="3">
        <f>IF(Table127163191[[#This Row],[run 1 times]]="",999.99,IF(Table127163191[[#This Row],[run 1 times]]=$O$3,0,MAX(0,ROUND(((Table127163191[[#This Row],[run 1 times]]-$O$3)/$O$3)*$Q$6,2))))</f>
        <v>18.5</v>
      </c>
      <c r="O5" t="s">
        <v>484</v>
      </c>
      <c r="P5" t="s">
        <v>485</v>
      </c>
      <c r="Q5" t="s">
        <v>486</v>
      </c>
      <c r="S5">
        <v>17</v>
      </c>
      <c r="T5">
        <v>60</v>
      </c>
      <c r="U5" t="s">
        <v>487</v>
      </c>
      <c r="V5" t="s">
        <v>522</v>
      </c>
      <c r="W5" t="s">
        <v>699</v>
      </c>
      <c r="X5">
        <v>2012</v>
      </c>
      <c r="Y5" s="1">
        <v>57.56</v>
      </c>
      <c r="Z5" s="1"/>
      <c r="AA5" s="1"/>
      <c r="AC5">
        <v>102437</v>
      </c>
      <c r="AD5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6.6620370370370368E-4</v>
      </c>
      <c r="AE5" s="3">
        <f>IF(Table122110193494[[#This Row],[run 1 times]]="",999.99,IF(Table122110193494[[#This Row],[run 1 times]]=$AG$3,0,MAX(0,ROUND(((Table122110193494[[#This Row],[run 1 times]]-$AG$3)/$AG$3)*$AI$6,2))))</f>
        <v>158.62</v>
      </c>
      <c r="AG5" t="s">
        <v>484</v>
      </c>
      <c r="AH5" t="s">
        <v>485</v>
      </c>
      <c r="AI5" t="s">
        <v>486</v>
      </c>
    </row>
    <row r="6" spans="1:35" x14ac:dyDescent="0.3">
      <c r="A6">
        <v>13</v>
      </c>
      <c r="B6">
        <v>91</v>
      </c>
      <c r="C6" t="s">
        <v>487</v>
      </c>
      <c r="D6" t="s">
        <v>547</v>
      </c>
      <c r="E6" t="s">
        <v>843</v>
      </c>
      <c r="F6">
        <v>2010</v>
      </c>
      <c r="G6" s="1">
        <v>52.03</v>
      </c>
      <c r="H6" s="1"/>
      <c r="I6" s="1"/>
      <c r="K6">
        <v>102417</v>
      </c>
      <c r="L6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6.0219907407407412E-4</v>
      </c>
      <c r="M6" s="3">
        <f>IF(Table127163191[[#This Row],[run 1 times]]="",999.99,IF(Table127163191[[#This Row],[run 1 times]]=$O$3,0,MAX(0,ROUND(((Table127163191[[#This Row],[run 1 times]]-$O$3)/$O$3)*$Q$6,2))))</f>
        <v>28.33</v>
      </c>
      <c r="O6">
        <v>730</v>
      </c>
      <c r="P6">
        <v>1010</v>
      </c>
      <c r="Q6">
        <v>1190</v>
      </c>
      <c r="S6">
        <v>14</v>
      </c>
      <c r="T6">
        <v>63</v>
      </c>
      <c r="U6" t="s">
        <v>223</v>
      </c>
      <c r="V6" t="s">
        <v>522</v>
      </c>
      <c r="W6" t="s">
        <v>672</v>
      </c>
      <c r="X6">
        <v>2013</v>
      </c>
      <c r="Y6" s="1">
        <v>57.61</v>
      </c>
      <c r="Z6" s="1"/>
      <c r="AA6" s="1"/>
      <c r="AC6">
        <v>105181</v>
      </c>
      <c r="AD6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6.6678240740740738E-4</v>
      </c>
      <c r="AE6" s="3">
        <f>IF(Table122110193494[[#This Row],[run 1 times]]="",999.99,IF(Table122110193494[[#This Row],[run 1 times]]=$AG$3,0,MAX(0,ROUND(((Table122110193494[[#This Row],[run 1 times]]-$AG$3)/$AG$3)*$AI$6,2))))</f>
        <v>159.79</v>
      </c>
      <c r="AG6">
        <v>730</v>
      </c>
      <c r="AH6">
        <v>1010</v>
      </c>
      <c r="AI6">
        <v>1190</v>
      </c>
    </row>
    <row r="7" spans="1:35" x14ac:dyDescent="0.3">
      <c r="A7">
        <v>28</v>
      </c>
      <c r="B7">
        <v>106</v>
      </c>
      <c r="C7" t="s">
        <v>487</v>
      </c>
      <c r="D7" t="s">
        <v>572</v>
      </c>
      <c r="E7" t="s">
        <v>842</v>
      </c>
      <c r="F7">
        <v>2009</v>
      </c>
      <c r="G7" s="1">
        <v>52.31</v>
      </c>
      <c r="H7" s="1"/>
      <c r="I7" s="1"/>
      <c r="K7">
        <v>88392</v>
      </c>
      <c r="L7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6.0543981481481484E-4</v>
      </c>
      <c r="M7" s="3">
        <f>IF(Table127163191[[#This Row],[run 1 times]]="",999.99,IF(Table127163191[[#This Row],[run 1 times]]=$O$3,0,MAX(0,ROUND(((Table127163191[[#This Row],[run 1 times]]-$O$3)/$O$3)*$Q$6,2))))</f>
        <v>34.89</v>
      </c>
      <c r="S7">
        <v>4</v>
      </c>
      <c r="T7">
        <v>74</v>
      </c>
      <c r="U7" t="s">
        <v>882</v>
      </c>
      <c r="V7" t="s">
        <v>522</v>
      </c>
      <c r="W7" t="s">
        <v>883</v>
      </c>
      <c r="X7">
        <v>2012</v>
      </c>
      <c r="Y7" s="1">
        <v>58.07</v>
      </c>
      <c r="Z7" s="1"/>
      <c r="AA7" s="1"/>
      <c r="AC7">
        <v>113772</v>
      </c>
      <c r="AD7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6.7210648148148153E-4</v>
      </c>
      <c r="AE7" s="3">
        <f>IF(Table122110193494[[#This Row],[run 1 times]]="",999.99,IF(Table122110193494[[#This Row],[run 1 times]]=$AG$3,0,MAX(0,ROUND(((Table122110193494[[#This Row],[run 1 times]]-$AG$3)/$AG$3)*$AI$6,2))))</f>
        <v>170.57</v>
      </c>
    </row>
    <row r="8" spans="1:35" x14ac:dyDescent="0.3">
      <c r="A8">
        <v>27</v>
      </c>
      <c r="B8">
        <v>105</v>
      </c>
      <c r="C8" t="s">
        <v>487</v>
      </c>
      <c r="D8" t="s">
        <v>547</v>
      </c>
      <c r="E8" t="s">
        <v>841</v>
      </c>
      <c r="F8">
        <v>2010</v>
      </c>
      <c r="G8" s="1">
        <v>52.31</v>
      </c>
      <c r="H8" s="1"/>
      <c r="I8" s="1"/>
      <c r="K8">
        <v>93779</v>
      </c>
      <c r="L8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6.0543981481481484E-4</v>
      </c>
      <c r="M8" s="3">
        <f>IF(Table127163191[[#This Row],[run 1 times]]="",999.99,IF(Table127163191[[#This Row],[run 1 times]]=$O$3,0,MAX(0,ROUND(((Table127163191[[#This Row],[run 1 times]]-$O$3)/$O$3)*$Q$6,2))))</f>
        <v>34.89</v>
      </c>
      <c r="S8">
        <v>21</v>
      </c>
      <c r="T8">
        <v>56</v>
      </c>
      <c r="U8" t="s">
        <v>257</v>
      </c>
      <c r="V8" t="s">
        <v>522</v>
      </c>
      <c r="W8" t="s">
        <v>709</v>
      </c>
      <c r="X8">
        <v>2012</v>
      </c>
      <c r="Y8" s="1">
        <v>58.71</v>
      </c>
      <c r="Z8" s="1"/>
      <c r="AA8" s="1"/>
      <c r="AC8">
        <v>107305</v>
      </c>
      <c r="AD8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6.795138888888889E-4</v>
      </c>
      <c r="AE8" s="3">
        <f>IF(Table122110193494[[#This Row],[run 1 times]]="",999.99,IF(Table122110193494[[#This Row],[run 1 times]]=$AG$3,0,MAX(0,ROUND(((Table122110193494[[#This Row],[run 1 times]]-$AG$3)/$AG$3)*$AI$6,2))))</f>
        <v>185.56</v>
      </c>
    </row>
    <row r="9" spans="1:35" x14ac:dyDescent="0.3">
      <c r="A9">
        <v>5</v>
      </c>
      <c r="B9">
        <v>82</v>
      </c>
      <c r="C9" t="s">
        <v>257</v>
      </c>
      <c r="D9" t="s">
        <v>572</v>
      </c>
      <c r="E9" t="s">
        <v>763</v>
      </c>
      <c r="F9">
        <v>2008</v>
      </c>
      <c r="G9" s="1">
        <v>52.56</v>
      </c>
      <c r="H9" s="1"/>
      <c r="I9" s="1"/>
      <c r="K9">
        <v>87497</v>
      </c>
      <c r="L9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6.0833333333333334E-4</v>
      </c>
      <c r="M9" s="3">
        <f>IF(Table127163191[[#This Row],[run 1 times]]="",999.99,IF(Table127163191[[#This Row],[run 1 times]]=$O$3,0,MAX(0,ROUND(((Table127163191[[#This Row],[run 1 times]]-$O$3)/$O$3)*$Q$6,2))))</f>
        <v>40.74</v>
      </c>
      <c r="S9">
        <v>7</v>
      </c>
      <c r="T9">
        <v>71</v>
      </c>
      <c r="U9" t="s">
        <v>487</v>
      </c>
      <c r="V9" t="s">
        <v>522</v>
      </c>
      <c r="W9" t="s">
        <v>705</v>
      </c>
      <c r="X9">
        <v>2012</v>
      </c>
      <c r="Y9" s="1">
        <v>59.36</v>
      </c>
      <c r="Z9" s="1"/>
      <c r="AA9" s="1"/>
      <c r="AC9">
        <v>121018</v>
      </c>
      <c r="AD9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6.87037037037037E-4</v>
      </c>
      <c r="AE9" s="3">
        <f>IF(Table122110193494[[#This Row],[run 1 times]]="",999.99,IF(Table122110193494[[#This Row],[run 1 times]]=$AG$3,0,MAX(0,ROUND(((Table122110193494[[#This Row],[run 1 times]]-$AG$3)/$AG$3)*$AI$6,2))))</f>
        <v>200.79</v>
      </c>
    </row>
    <row r="10" spans="1:35" x14ac:dyDescent="0.3">
      <c r="A10">
        <v>33</v>
      </c>
      <c r="B10">
        <v>112</v>
      </c>
      <c r="C10" t="s">
        <v>223</v>
      </c>
      <c r="D10" t="s">
        <v>572</v>
      </c>
      <c r="E10" t="s">
        <v>756</v>
      </c>
      <c r="F10">
        <v>2008</v>
      </c>
      <c r="G10" s="1">
        <v>52.88</v>
      </c>
      <c r="H10" s="1"/>
      <c r="I10" s="1"/>
      <c r="K10">
        <v>87549</v>
      </c>
      <c r="L10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6.1203703703703702E-4</v>
      </c>
      <c r="M10" s="3">
        <f>IF(Table127163191[[#This Row],[run 1 times]]="",999.99,IF(Table127163191[[#This Row],[run 1 times]]=$O$3,0,MAX(0,ROUND(((Table127163191[[#This Row],[run 1 times]]-$O$3)/$O$3)*$Q$6,2))))</f>
        <v>48.24</v>
      </c>
      <c r="S10">
        <v>11</v>
      </c>
      <c r="T10">
        <v>67</v>
      </c>
      <c r="U10" t="s">
        <v>257</v>
      </c>
      <c r="V10" t="s">
        <v>522</v>
      </c>
      <c r="W10" t="s">
        <v>712</v>
      </c>
      <c r="X10">
        <v>2012</v>
      </c>
      <c r="Y10" s="1">
        <v>59.38</v>
      </c>
      <c r="Z10" s="1"/>
      <c r="AA10" s="1"/>
      <c r="AC10">
        <v>117686</v>
      </c>
      <c r="AD10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6.8726851851851859E-4</v>
      </c>
      <c r="AE10" s="3">
        <f>IF(Table122110193494[[#This Row],[run 1 times]]="",999.99,IF(Table122110193494[[#This Row],[run 1 times]]=$AG$3,0,MAX(0,ROUND(((Table122110193494[[#This Row],[run 1 times]]-$AG$3)/$AG$3)*$AI$6,2))))</f>
        <v>201.26</v>
      </c>
    </row>
    <row r="11" spans="1:35" x14ac:dyDescent="0.3">
      <c r="A11">
        <v>17</v>
      </c>
      <c r="B11">
        <v>95</v>
      </c>
      <c r="C11" t="s">
        <v>24</v>
      </c>
      <c r="D11" t="s">
        <v>547</v>
      </c>
      <c r="E11" t="s">
        <v>742</v>
      </c>
      <c r="F11">
        <v>2010</v>
      </c>
      <c r="G11" s="1">
        <v>53.75</v>
      </c>
      <c r="H11" s="1"/>
      <c r="I11" s="1"/>
      <c r="K11">
        <v>89651</v>
      </c>
      <c r="L11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6.2210648148148151E-4</v>
      </c>
      <c r="M11" s="3">
        <f>IF(Table127163191[[#This Row],[run 1 times]]="",999.99,IF(Table127163191[[#This Row],[run 1 times]]=$O$3,0,MAX(0,ROUND(((Table127163191[[#This Row],[run 1 times]]-$O$3)/$O$3)*$Q$6,2))))</f>
        <v>68.61</v>
      </c>
      <c r="S11">
        <v>18</v>
      </c>
      <c r="T11">
        <v>59</v>
      </c>
      <c r="U11" t="s">
        <v>479</v>
      </c>
      <c r="V11" t="s">
        <v>522</v>
      </c>
      <c r="W11" t="s">
        <v>673</v>
      </c>
      <c r="X11">
        <v>2012</v>
      </c>
      <c r="Y11" s="1">
        <v>59.68</v>
      </c>
      <c r="Z11" s="1"/>
      <c r="AA11" s="1"/>
      <c r="AC11">
        <v>108263</v>
      </c>
      <c r="AD11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6.9074074074074079E-4</v>
      </c>
      <c r="AE11" s="3">
        <f>IF(Table122110193494[[#This Row],[run 1 times]]="",999.99,IF(Table122110193494[[#This Row],[run 1 times]]=$AG$3,0,MAX(0,ROUND(((Table122110193494[[#This Row],[run 1 times]]-$AG$3)/$AG$3)*$AI$6,2))))</f>
        <v>208.29</v>
      </c>
    </row>
    <row r="12" spans="1:35" x14ac:dyDescent="0.3">
      <c r="A12">
        <v>8</v>
      </c>
      <c r="B12">
        <v>85</v>
      </c>
      <c r="C12" t="s">
        <v>24</v>
      </c>
      <c r="D12" t="s">
        <v>547</v>
      </c>
      <c r="E12" t="s">
        <v>754</v>
      </c>
      <c r="F12">
        <v>2010</v>
      </c>
      <c r="G12" s="1">
        <v>53.9</v>
      </c>
      <c r="H12" s="1"/>
      <c r="I12" s="1"/>
      <c r="K12">
        <v>93749</v>
      </c>
      <c r="L12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6.2384259259259261E-4</v>
      </c>
      <c r="M12" s="3">
        <f>IF(Table127163191[[#This Row],[run 1 times]]="",999.99,IF(Table127163191[[#This Row],[run 1 times]]=$O$3,0,MAX(0,ROUND(((Table127163191[[#This Row],[run 1 times]]-$O$3)/$O$3)*$Q$6,2))))</f>
        <v>72.12</v>
      </c>
      <c r="S12">
        <v>16</v>
      </c>
      <c r="T12">
        <v>61</v>
      </c>
      <c r="U12" t="s">
        <v>257</v>
      </c>
      <c r="V12" t="s">
        <v>522</v>
      </c>
      <c r="W12" t="s">
        <v>675</v>
      </c>
      <c r="X12">
        <v>2013</v>
      </c>
      <c r="Y12" s="1">
        <v>6.9722222222222223E-4</v>
      </c>
      <c r="Z12" s="1"/>
      <c r="AA12" s="1"/>
      <c r="AC12">
        <v>117684</v>
      </c>
      <c r="AD12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6.9722222222222223E-4</v>
      </c>
      <c r="AE12" s="3">
        <f>IF(Table122110193494[[#This Row],[run 1 times]]="",999.99,IF(Table122110193494[[#This Row],[run 1 times]]=$AG$3,0,MAX(0,ROUND(((Table122110193494[[#This Row],[run 1 times]]-$AG$3)/$AG$3)*$AI$6,2))))</f>
        <v>221.41</v>
      </c>
    </row>
    <row r="13" spans="1:35" x14ac:dyDescent="0.3">
      <c r="A13">
        <v>4</v>
      </c>
      <c r="B13">
        <v>81</v>
      </c>
      <c r="C13" t="s">
        <v>479</v>
      </c>
      <c r="D13" t="s">
        <v>547</v>
      </c>
      <c r="E13" t="s">
        <v>750</v>
      </c>
      <c r="F13">
        <v>2011</v>
      </c>
      <c r="G13" s="1">
        <v>55.2</v>
      </c>
      <c r="H13" s="1"/>
      <c r="I13" s="1"/>
      <c r="K13">
        <v>101428</v>
      </c>
      <c r="L13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6.3888888888888893E-4</v>
      </c>
      <c r="M13" s="3">
        <f>IF(Table127163191[[#This Row],[run 1 times]]="",999.99,IF(Table127163191[[#This Row],[run 1 times]]=$O$3,0,MAX(0,ROUND(((Table127163191[[#This Row],[run 1 times]]-$O$3)/$O$3)*$Q$6,2))))</f>
        <v>102.56</v>
      </c>
      <c r="S13">
        <v>12</v>
      </c>
      <c r="T13">
        <v>65</v>
      </c>
      <c r="U13" t="s">
        <v>257</v>
      </c>
      <c r="V13" t="s">
        <v>522</v>
      </c>
      <c r="W13" t="s">
        <v>698</v>
      </c>
      <c r="X13">
        <v>2012</v>
      </c>
      <c r="Y13" s="1">
        <v>7.0196759259259257E-4</v>
      </c>
      <c r="Z13" s="1"/>
      <c r="AA13" s="1"/>
      <c r="AC13">
        <v>102726</v>
      </c>
      <c r="AD13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7.0196759259259257E-4</v>
      </c>
      <c r="AE13" s="3">
        <f>IF(Table122110193494[[#This Row],[run 1 times]]="",999.99,IF(Table122110193494[[#This Row],[run 1 times]]=$AG$3,0,MAX(0,ROUND(((Table122110193494[[#This Row],[run 1 times]]-$AG$3)/$AG$3)*$AI$6,2))))</f>
        <v>231.02</v>
      </c>
    </row>
    <row r="14" spans="1:35" x14ac:dyDescent="0.3">
      <c r="A14">
        <v>26</v>
      </c>
      <c r="B14">
        <v>104</v>
      </c>
      <c r="C14" t="s">
        <v>223</v>
      </c>
      <c r="D14" t="s">
        <v>547</v>
      </c>
      <c r="E14" t="s">
        <v>745</v>
      </c>
      <c r="F14">
        <v>2011</v>
      </c>
      <c r="G14" s="1">
        <v>55.57</v>
      </c>
      <c r="H14" s="1"/>
      <c r="I14" s="1"/>
      <c r="K14">
        <v>102458</v>
      </c>
      <c r="L14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6.4317129629629631E-4</v>
      </c>
      <c r="M14" s="3">
        <f>IF(Table127163191[[#This Row],[run 1 times]]="",999.99,IF(Table127163191[[#This Row],[run 1 times]]=$O$3,0,MAX(0,ROUND(((Table127163191[[#This Row],[run 1 times]]-$O$3)/$O$3)*$Q$6,2))))</f>
        <v>111.23</v>
      </c>
      <c r="S14">
        <v>13</v>
      </c>
      <c r="T14">
        <v>64</v>
      </c>
      <c r="U14" t="s">
        <v>479</v>
      </c>
      <c r="V14" t="s">
        <v>522</v>
      </c>
      <c r="W14" t="s">
        <v>677</v>
      </c>
      <c r="X14">
        <v>2012</v>
      </c>
      <c r="Y14" s="1">
        <v>7.1759259259259259E-4</v>
      </c>
      <c r="Z14" s="1"/>
      <c r="AA14" s="1"/>
      <c r="AC14">
        <v>102357</v>
      </c>
      <c r="AD14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7.1759259259259259E-4</v>
      </c>
      <c r="AE14" s="3">
        <f>IF(Table122110193494[[#This Row],[run 1 times]]="",999.99,IF(Table122110193494[[#This Row],[run 1 times]]=$AG$3,0,MAX(0,ROUND(((Table122110193494[[#This Row],[run 1 times]]-$AG$3)/$AG$3)*$AI$6,2))))</f>
        <v>262.64999999999998</v>
      </c>
    </row>
    <row r="15" spans="1:35" x14ac:dyDescent="0.3">
      <c r="A15">
        <v>15</v>
      </c>
      <c r="B15">
        <v>93</v>
      </c>
      <c r="C15" t="s">
        <v>373</v>
      </c>
      <c r="D15" t="s">
        <v>547</v>
      </c>
      <c r="E15" t="s">
        <v>758</v>
      </c>
      <c r="F15">
        <v>2011</v>
      </c>
      <c r="G15" s="1">
        <v>55.63</v>
      </c>
      <c r="H15" s="1"/>
      <c r="I15" s="1"/>
      <c r="K15">
        <v>94814</v>
      </c>
      <c r="L15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6.4386574074074075E-4</v>
      </c>
      <c r="M15" s="3">
        <f>IF(Table127163191[[#This Row],[run 1 times]]="",999.99,IF(Table127163191[[#This Row],[run 1 times]]=$O$3,0,MAX(0,ROUND(((Table127163191[[#This Row],[run 1 times]]-$O$3)/$O$3)*$Q$6,2))))</f>
        <v>112.63</v>
      </c>
      <c r="S15">
        <v>19</v>
      </c>
      <c r="T15">
        <v>58</v>
      </c>
      <c r="U15" t="s">
        <v>479</v>
      </c>
      <c r="V15" t="s">
        <v>522</v>
      </c>
      <c r="W15" t="s">
        <v>678</v>
      </c>
      <c r="X15">
        <v>2012</v>
      </c>
      <c r="Y15" s="1">
        <v>7.3761574074074072E-4</v>
      </c>
      <c r="Z15" s="1"/>
      <c r="AA15" s="1"/>
      <c r="AC15">
        <v>108194</v>
      </c>
      <c r="AD15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7.3761574074074072E-4</v>
      </c>
      <c r="AE15" s="3">
        <f>IF(Table122110193494[[#This Row],[run 1 times]]="",999.99,IF(Table122110193494[[#This Row],[run 1 times]]=$AG$3,0,MAX(0,ROUND(((Table122110193494[[#This Row],[run 1 times]]-$AG$3)/$AG$3)*$AI$6,2))))</f>
        <v>303.18</v>
      </c>
    </row>
    <row r="16" spans="1:35" x14ac:dyDescent="0.3">
      <c r="A16">
        <v>32</v>
      </c>
      <c r="B16">
        <v>110</v>
      </c>
      <c r="C16" t="s">
        <v>257</v>
      </c>
      <c r="D16" t="s">
        <v>572</v>
      </c>
      <c r="E16" t="s">
        <v>898</v>
      </c>
      <c r="F16">
        <v>2009</v>
      </c>
      <c r="G16" s="1">
        <v>55.84</v>
      </c>
      <c r="H16" s="1"/>
      <c r="I16" s="1"/>
      <c r="K16">
        <v>108195</v>
      </c>
      <c r="L16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6.4629629629629629E-4</v>
      </c>
      <c r="M16" s="3">
        <f>IF(Table127163191[[#This Row],[run 1 times]]="",999.99,IF(Table127163191[[#This Row],[run 1 times]]=$O$3,0,MAX(0,ROUND(((Table127163191[[#This Row],[run 1 times]]-$O$3)/$O$3)*$Q$6,2))))</f>
        <v>117.55</v>
      </c>
      <c r="S16">
        <v>9</v>
      </c>
      <c r="T16">
        <v>69</v>
      </c>
      <c r="U16" t="s">
        <v>257</v>
      </c>
      <c r="V16" t="s">
        <v>522</v>
      </c>
      <c r="W16" t="s">
        <v>708</v>
      </c>
      <c r="X16">
        <v>2013</v>
      </c>
      <c r="Y16" s="1">
        <v>7.788194444444445E-4</v>
      </c>
      <c r="Z16" s="1"/>
      <c r="AA16" s="1"/>
      <c r="AC16">
        <v>120663</v>
      </c>
      <c r="AD16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7.788194444444445E-4</v>
      </c>
      <c r="AE16" s="3">
        <f>IF(Table122110193494[[#This Row],[run 1 times]]="",999.99,IF(Table122110193494[[#This Row],[run 1 times]]=$AG$3,0,MAX(0,ROUND(((Table122110193494[[#This Row],[run 1 times]]-$AG$3)/$AG$3)*$AI$6,2))))</f>
        <v>386.59</v>
      </c>
    </row>
    <row r="17" spans="1:31" x14ac:dyDescent="0.3">
      <c r="A17">
        <v>7</v>
      </c>
      <c r="B17">
        <v>84</v>
      </c>
      <c r="C17" t="s">
        <v>257</v>
      </c>
      <c r="D17" t="s">
        <v>547</v>
      </c>
      <c r="E17" t="s">
        <v>766</v>
      </c>
      <c r="F17">
        <v>2011</v>
      </c>
      <c r="G17" s="1">
        <v>55.87</v>
      </c>
      <c r="H17" s="1"/>
      <c r="I17" s="1"/>
      <c r="K17">
        <v>102722</v>
      </c>
      <c r="L17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6.4664351851851851E-4</v>
      </c>
      <c r="M17" s="3">
        <f>IF(Table127163191[[#This Row],[run 1 times]]="",999.99,IF(Table127163191[[#This Row],[run 1 times]]=$O$3,0,MAX(0,ROUND(((Table127163191[[#This Row],[run 1 times]]-$O$3)/$O$3)*$Q$6,2))))</f>
        <v>118.25</v>
      </c>
      <c r="S17">
        <v>1</v>
      </c>
      <c r="T17">
        <v>77</v>
      </c>
      <c r="U17" t="s">
        <v>826</v>
      </c>
      <c r="V17" t="s">
        <v>522</v>
      </c>
      <c r="W17" t="s">
        <v>885</v>
      </c>
      <c r="X17">
        <v>2013</v>
      </c>
      <c r="Y17" s="1">
        <v>7.9884259259259253E-4</v>
      </c>
      <c r="Z17" s="1"/>
      <c r="AA17" s="1"/>
      <c r="AC17">
        <v>112478</v>
      </c>
      <c r="AD17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7.9884259259259253E-4</v>
      </c>
      <c r="AE17" s="3">
        <f>IF(Table122110193494[[#This Row],[run 1 times]]="",999.99,IF(Table122110193494[[#This Row],[run 1 times]]=$AG$3,0,MAX(0,ROUND(((Table122110193494[[#This Row],[run 1 times]]-$AG$3)/$AG$3)*$AI$6,2))))</f>
        <v>427.13</v>
      </c>
    </row>
    <row r="18" spans="1:31" x14ac:dyDescent="0.3">
      <c r="A18">
        <v>19</v>
      </c>
      <c r="B18">
        <v>97</v>
      </c>
      <c r="C18" t="s">
        <v>24</v>
      </c>
      <c r="D18" t="s">
        <v>547</v>
      </c>
      <c r="E18" t="s">
        <v>762</v>
      </c>
      <c r="F18">
        <v>2011</v>
      </c>
      <c r="G18" s="1">
        <v>55.91</v>
      </c>
      <c r="H18" s="1"/>
      <c r="I18" s="1"/>
      <c r="K18">
        <v>89867</v>
      </c>
      <c r="L18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6.4710648148148147E-4</v>
      </c>
      <c r="M18" s="3">
        <f>IF(Table127163191[[#This Row],[run 1 times]]="",999.99,IF(Table127163191[[#This Row],[run 1 times]]=$O$3,0,MAX(0,ROUND(((Table127163191[[#This Row],[run 1 times]]-$O$3)/$O$3)*$Q$6,2))))</f>
        <v>119.19</v>
      </c>
      <c r="S18">
        <v>6</v>
      </c>
      <c r="T18">
        <v>72</v>
      </c>
      <c r="U18" t="s">
        <v>373</v>
      </c>
      <c r="V18" t="s">
        <v>522</v>
      </c>
      <c r="W18" t="s">
        <v>683</v>
      </c>
      <c r="X18">
        <v>2013</v>
      </c>
      <c r="Y18" s="1">
        <v>8.1620370370370364E-4</v>
      </c>
      <c r="Z18" s="1"/>
      <c r="AA18" s="1"/>
      <c r="AC18">
        <v>107172</v>
      </c>
      <c r="AD18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8.1620370370370364E-4</v>
      </c>
      <c r="AE18" s="3">
        <f>IF(Table122110193494[[#This Row],[run 1 times]]="",999.99,IF(Table122110193494[[#This Row],[run 1 times]]=$AG$3,0,MAX(0,ROUND(((Table122110193494[[#This Row],[run 1 times]]-$AG$3)/$AG$3)*$AI$6,2))))</f>
        <v>462.27</v>
      </c>
    </row>
    <row r="19" spans="1:31" x14ac:dyDescent="0.3">
      <c r="A19">
        <v>10</v>
      </c>
      <c r="B19">
        <v>88</v>
      </c>
      <c r="C19" t="s">
        <v>223</v>
      </c>
      <c r="D19" t="s">
        <v>547</v>
      </c>
      <c r="E19" t="s">
        <v>746</v>
      </c>
      <c r="F19">
        <v>2011</v>
      </c>
      <c r="G19" s="1">
        <v>56.44</v>
      </c>
      <c r="H19" s="1"/>
      <c r="I19" s="1"/>
      <c r="K19">
        <v>93462</v>
      </c>
      <c r="L19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6.5324074074074069E-4</v>
      </c>
      <c r="M19" s="3">
        <f>IF(Table127163191[[#This Row],[run 1 times]]="",999.99,IF(Table127163191[[#This Row],[run 1 times]]=$O$3,0,MAX(0,ROUND(((Table127163191[[#This Row],[run 1 times]]-$O$3)/$O$3)*$Q$6,2))))</f>
        <v>131.6</v>
      </c>
      <c r="S19">
        <v>5</v>
      </c>
      <c r="T19">
        <v>73</v>
      </c>
      <c r="U19" t="s">
        <v>479</v>
      </c>
      <c r="V19" t="s">
        <v>522</v>
      </c>
      <c r="W19" t="s">
        <v>702</v>
      </c>
      <c r="X19">
        <v>2013</v>
      </c>
      <c r="Y19" s="1" t="s">
        <v>510</v>
      </c>
      <c r="Z19" s="1"/>
      <c r="AA19" s="1"/>
      <c r="AC19">
        <v>101422</v>
      </c>
      <c r="AD19" s="2" t="str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E19" s="3">
        <f>IF(Table122110193494[[#This Row],[run 1 times]]="",999.99,IF(Table122110193494[[#This Row],[run 1 times]]=$AG$3,0,MAX(0,ROUND(((Table122110193494[[#This Row],[run 1 times]]-$AG$3)/$AG$3)*$AI$6,2))))</f>
        <v>999.99</v>
      </c>
    </row>
    <row r="20" spans="1:31" x14ac:dyDescent="0.3">
      <c r="A20">
        <v>9</v>
      </c>
      <c r="B20">
        <v>87</v>
      </c>
      <c r="C20" t="s">
        <v>24</v>
      </c>
      <c r="D20" t="s">
        <v>572</v>
      </c>
      <c r="E20" t="s">
        <v>749</v>
      </c>
      <c r="F20">
        <v>2009</v>
      </c>
      <c r="G20" s="1">
        <v>56.59</v>
      </c>
      <c r="H20" s="1"/>
      <c r="I20" s="1"/>
      <c r="K20">
        <v>104657</v>
      </c>
      <c r="L20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6.549768518518519E-4</v>
      </c>
      <c r="M20" s="3">
        <f>IF(Table127163191[[#This Row],[run 1 times]]="",999.99,IF(Table127163191[[#This Row],[run 1 times]]=$O$3,0,MAX(0,ROUND(((Table127163191[[#This Row],[run 1 times]]-$O$3)/$O$3)*$Q$6,2))))</f>
        <v>135.11000000000001</v>
      </c>
      <c r="S20">
        <v>2</v>
      </c>
      <c r="T20">
        <v>76</v>
      </c>
      <c r="U20" t="s">
        <v>479</v>
      </c>
      <c r="V20" t="s">
        <v>522</v>
      </c>
      <c r="W20" t="s">
        <v>670</v>
      </c>
      <c r="X20">
        <v>2012</v>
      </c>
      <c r="Y20" s="1" t="s">
        <v>510</v>
      </c>
      <c r="Z20" s="1"/>
      <c r="AA20" s="1"/>
      <c r="AC20">
        <v>101431</v>
      </c>
      <c r="AD20" s="2" t="str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E20" s="3">
        <f>IF(Table122110193494[[#This Row],[run 1 times]]="",999.99,IF(Table122110193494[[#This Row],[run 1 times]]=$AG$3,0,MAX(0,ROUND(((Table122110193494[[#This Row],[run 1 times]]-$AG$3)/$AG$3)*$AI$6,2))))</f>
        <v>999.99</v>
      </c>
    </row>
    <row r="21" spans="1:31" x14ac:dyDescent="0.3">
      <c r="A21">
        <v>18</v>
      </c>
      <c r="B21">
        <v>96</v>
      </c>
      <c r="C21" t="s">
        <v>838</v>
      </c>
      <c r="D21" t="s">
        <v>547</v>
      </c>
      <c r="E21" t="s">
        <v>849</v>
      </c>
      <c r="F21">
        <v>2010</v>
      </c>
      <c r="G21" s="1">
        <v>56.71</v>
      </c>
      <c r="H21" s="1"/>
      <c r="I21" s="1"/>
      <c r="K21">
        <v>122038</v>
      </c>
      <c r="L21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6.5636574074074078E-4</v>
      </c>
      <c r="M21" s="3">
        <f>IF(Table127163191[[#This Row],[run 1 times]]="",999.99,IF(Table127163191[[#This Row],[run 1 times]]=$O$3,0,MAX(0,ROUND(((Table127163191[[#This Row],[run 1 times]]-$O$3)/$O$3)*$Q$6,2))))</f>
        <v>137.91999999999999</v>
      </c>
      <c r="S21">
        <v>15</v>
      </c>
      <c r="T21">
        <v>62</v>
      </c>
      <c r="U21" t="s">
        <v>487</v>
      </c>
      <c r="V21" t="s">
        <v>522</v>
      </c>
      <c r="W21" t="s">
        <v>714</v>
      </c>
      <c r="X21">
        <v>2013</v>
      </c>
      <c r="Y21" s="1" t="s">
        <v>512</v>
      </c>
      <c r="Z21" s="1"/>
      <c r="AA21" s="1"/>
      <c r="AC21">
        <v>109533</v>
      </c>
      <c r="AD21" s="2" t="str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E21" s="3">
        <f>IF(Table122110193494[[#This Row],[run 1 times]]="",999.99,IF(Table122110193494[[#This Row],[run 1 times]]=$AG$3,0,MAX(0,ROUND(((Table122110193494[[#This Row],[run 1 times]]-$AG$3)/$AG$3)*$AI$6,2))))</f>
        <v>999.99</v>
      </c>
    </row>
    <row r="22" spans="1:31" x14ac:dyDescent="0.3">
      <c r="A22">
        <v>24</v>
      </c>
      <c r="B22">
        <v>102</v>
      </c>
      <c r="C22" t="s">
        <v>24</v>
      </c>
      <c r="D22" t="s">
        <v>547</v>
      </c>
      <c r="E22" t="s">
        <v>759</v>
      </c>
      <c r="F22">
        <v>2011</v>
      </c>
      <c r="G22" s="1">
        <v>56.83</v>
      </c>
      <c r="H22" s="1"/>
      <c r="I22" s="1"/>
      <c r="K22">
        <v>88784</v>
      </c>
      <c r="L22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6.5775462962962966E-4</v>
      </c>
      <c r="M22" s="3">
        <f>IF(Table127163191[[#This Row],[run 1 times]]="",999.99,IF(Table127163191[[#This Row],[run 1 times]]=$O$3,0,MAX(0,ROUND(((Table127163191[[#This Row],[run 1 times]]-$O$3)/$O$3)*$Q$6,2))))</f>
        <v>140.72999999999999</v>
      </c>
      <c r="S22">
        <v>10</v>
      </c>
      <c r="T22">
        <v>68</v>
      </c>
      <c r="U22" t="s">
        <v>24</v>
      </c>
      <c r="V22" t="s">
        <v>522</v>
      </c>
      <c r="W22" t="s">
        <v>893</v>
      </c>
      <c r="X22">
        <v>2013</v>
      </c>
      <c r="Y22" s="1" t="s">
        <v>512</v>
      </c>
      <c r="Z22" s="1"/>
      <c r="AA22" s="1"/>
      <c r="AC22">
        <v>102827</v>
      </c>
      <c r="AD22" s="2" t="str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E22" s="3">
        <f>IF(Table122110193494[[#This Row],[run 1 times]]="",999.99,IF(Table122110193494[[#This Row],[run 1 times]]=$AG$3,0,MAX(0,ROUND(((Table122110193494[[#This Row],[run 1 times]]-$AG$3)/$AG$3)*$AI$6,2))))</f>
        <v>999.99</v>
      </c>
    </row>
    <row r="23" spans="1:31" x14ac:dyDescent="0.3">
      <c r="A23">
        <v>30</v>
      </c>
      <c r="B23">
        <v>108</v>
      </c>
      <c r="C23" t="s">
        <v>487</v>
      </c>
      <c r="D23" t="s">
        <v>547</v>
      </c>
      <c r="E23" t="s">
        <v>836</v>
      </c>
      <c r="F23">
        <v>2010</v>
      </c>
      <c r="G23" s="1">
        <v>57.03</v>
      </c>
      <c r="H23" s="1"/>
      <c r="I23" s="1"/>
      <c r="K23">
        <v>89850</v>
      </c>
      <c r="L23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6.6006944444444446E-4</v>
      </c>
      <c r="M23" s="3">
        <f>IF(Table127163191[[#This Row],[run 1 times]]="",999.99,IF(Table127163191[[#This Row],[run 1 times]]=$O$3,0,MAX(0,ROUND(((Table127163191[[#This Row],[run 1 times]]-$O$3)/$O$3)*$Q$6,2))))</f>
        <v>145.41</v>
      </c>
      <c r="S23">
        <v>3</v>
      </c>
      <c r="T23">
        <v>75</v>
      </c>
      <c r="U23" t="s">
        <v>479</v>
      </c>
      <c r="V23" t="s">
        <v>522</v>
      </c>
      <c r="W23" t="s">
        <v>668</v>
      </c>
      <c r="X23">
        <v>2013</v>
      </c>
      <c r="Y23" s="1" t="s">
        <v>512</v>
      </c>
      <c r="Z23" s="1"/>
      <c r="AA23" s="1"/>
      <c r="AC23">
        <v>101440</v>
      </c>
      <c r="AD23" s="2" t="str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E23" s="3">
        <f>IF(Table122110193494[[#This Row],[run 1 times]]="",999.99,IF(Table122110193494[[#This Row],[run 1 times]]=$AG$3,0,MAX(0,ROUND(((Table122110193494[[#This Row],[run 1 times]]-$AG$3)/$AG$3)*$AI$6,2))))</f>
        <v>999.99</v>
      </c>
    </row>
    <row r="24" spans="1:31" x14ac:dyDescent="0.3">
      <c r="A24">
        <v>22</v>
      </c>
      <c r="B24">
        <v>100</v>
      </c>
      <c r="C24" t="s">
        <v>257</v>
      </c>
      <c r="D24" t="s">
        <v>547</v>
      </c>
      <c r="E24" t="s">
        <v>744</v>
      </c>
      <c r="F24">
        <v>2010</v>
      </c>
      <c r="G24" s="1">
        <v>57.47</v>
      </c>
      <c r="H24" s="1"/>
      <c r="I24" s="1"/>
      <c r="K24">
        <v>102725</v>
      </c>
      <c r="L24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6.6516203703703702E-4</v>
      </c>
      <c r="M24" s="3">
        <f>IF(Table127163191[[#This Row],[run 1 times]]="",999.99,IF(Table127163191[[#This Row],[run 1 times]]=$O$3,0,MAX(0,ROUND(((Table127163191[[#This Row],[run 1 times]]-$O$3)/$O$3)*$Q$6,2))))</f>
        <v>155.72</v>
      </c>
      <c r="S24">
        <v>3</v>
      </c>
      <c r="T24">
        <v>109</v>
      </c>
      <c r="U24" t="s">
        <v>24</v>
      </c>
      <c r="V24" t="s">
        <v>572</v>
      </c>
      <c r="W24" t="s">
        <v>761</v>
      </c>
      <c r="X24">
        <v>2009</v>
      </c>
      <c r="Y24" s="1">
        <v>50.79</v>
      </c>
      <c r="Z24" s="1"/>
      <c r="AA24" s="1"/>
      <c r="AC24">
        <v>84474</v>
      </c>
      <c r="AD24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5.8784722222222224E-4</v>
      </c>
      <c r="AE24" s="3">
        <f>IF(Table122110193494[[#This Row],[run 1 times]]="",999.99,IF(Table122110193494[[#This Row],[run 1 times]]=$AG$3,0,MAX(0,ROUND(((Table122110193494[[#This Row],[run 1 times]]-$AG$3)/$AG$3)*$AI$6,2))))</f>
        <v>0</v>
      </c>
    </row>
    <row r="25" spans="1:31" x14ac:dyDescent="0.3">
      <c r="A25">
        <v>6</v>
      </c>
      <c r="B25">
        <v>83</v>
      </c>
      <c r="C25" t="s">
        <v>257</v>
      </c>
      <c r="D25" t="s">
        <v>547</v>
      </c>
      <c r="E25" t="s">
        <v>741</v>
      </c>
      <c r="F25">
        <v>2010</v>
      </c>
      <c r="G25" s="1">
        <v>59.78</v>
      </c>
      <c r="H25" s="1"/>
      <c r="I25" s="1"/>
      <c r="K25">
        <v>102719</v>
      </c>
      <c r="L25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6.9189814814814819E-4</v>
      </c>
      <c r="M25" s="3">
        <f>IF(Table127163191[[#This Row],[run 1 times]]="",999.99,IF(Table127163191[[#This Row],[run 1 times]]=$O$3,0,MAX(0,ROUND(((Table127163191[[#This Row],[run 1 times]]-$O$3)/$O$3)*$Q$6,2))))</f>
        <v>209.81</v>
      </c>
      <c r="S25">
        <v>13</v>
      </c>
      <c r="T25">
        <v>99</v>
      </c>
      <c r="U25" t="s">
        <v>487</v>
      </c>
      <c r="V25" t="s">
        <v>547</v>
      </c>
      <c r="W25" t="s">
        <v>847</v>
      </c>
      <c r="X25">
        <v>2011</v>
      </c>
      <c r="Y25" s="1">
        <v>51.35</v>
      </c>
      <c r="Z25" s="1"/>
      <c r="AA25" s="1"/>
      <c r="AC25">
        <v>94634</v>
      </c>
      <c r="AD25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5.9432870370370369E-4</v>
      </c>
      <c r="AE25" s="3">
        <f>IF(Table122110193494[[#This Row],[run 1 times]]="",999.99,IF(Table122110193494[[#This Row],[run 1 times]]=$AG$3,0,MAX(0,ROUND(((Table122110193494[[#This Row],[run 1 times]]-$AG$3)/$AG$3)*$AI$6,2))))</f>
        <v>13.12</v>
      </c>
    </row>
    <row r="26" spans="1:31" x14ac:dyDescent="0.3">
      <c r="A26">
        <v>12</v>
      </c>
      <c r="B26">
        <v>90</v>
      </c>
      <c r="C26" t="s">
        <v>24</v>
      </c>
      <c r="D26" t="s">
        <v>547</v>
      </c>
      <c r="E26" t="s">
        <v>850</v>
      </c>
      <c r="F26">
        <v>2010</v>
      </c>
      <c r="G26" s="1">
        <v>6.9513888888888891E-4</v>
      </c>
      <c r="H26" s="1"/>
      <c r="I26" s="1"/>
      <c r="K26">
        <v>87565</v>
      </c>
      <c r="L26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6.9513888888888891E-4</v>
      </c>
      <c r="M26" s="3">
        <f>IF(Table127163191[[#This Row],[run 1 times]]="",999.99,IF(Table127163191[[#This Row],[run 1 times]]=$O$3,0,MAX(0,ROUND(((Table127163191[[#This Row],[run 1 times]]-$O$3)/$O$3)*$Q$6,2))))</f>
        <v>216.36</v>
      </c>
      <c r="S26">
        <v>20</v>
      </c>
      <c r="T26">
        <v>92</v>
      </c>
      <c r="U26" t="s">
        <v>487</v>
      </c>
      <c r="V26" t="s">
        <v>572</v>
      </c>
      <c r="W26" t="s">
        <v>844</v>
      </c>
      <c r="X26">
        <v>2008</v>
      </c>
      <c r="Y26" s="1">
        <v>52.63</v>
      </c>
      <c r="Z26" s="1"/>
      <c r="AA26" s="1"/>
      <c r="AC26">
        <v>82356</v>
      </c>
      <c r="AD26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6.0914351851851852E-4</v>
      </c>
      <c r="AE26" s="3">
        <f>IF(Table122110193494[[#This Row],[run 1 times]]="",999.99,IF(Table122110193494[[#This Row],[run 1 times]]=$AG$3,0,MAX(0,ROUND(((Table122110193494[[#This Row],[run 1 times]]-$AG$3)/$AG$3)*$AI$6,2))))</f>
        <v>43.11</v>
      </c>
    </row>
    <row r="27" spans="1:31" x14ac:dyDescent="0.3">
      <c r="A27">
        <v>16</v>
      </c>
      <c r="B27">
        <v>94</v>
      </c>
      <c r="C27" t="s">
        <v>838</v>
      </c>
      <c r="D27" t="s">
        <v>547</v>
      </c>
      <c r="E27" t="s">
        <v>839</v>
      </c>
      <c r="F27">
        <v>2011</v>
      </c>
      <c r="G27" s="1">
        <v>6.9687500000000001E-4</v>
      </c>
      <c r="H27" s="1"/>
      <c r="I27" s="1"/>
      <c r="K27">
        <v>112467</v>
      </c>
      <c r="L27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6.9687500000000001E-4</v>
      </c>
      <c r="M27" s="3">
        <f>IF(Table127163191[[#This Row],[run 1 times]]="",999.99,IF(Table127163191[[#This Row],[run 1 times]]=$O$3,0,MAX(0,ROUND(((Table127163191[[#This Row],[run 1 times]]-$O$3)/$O$3)*$Q$6,2))))</f>
        <v>219.88</v>
      </c>
      <c r="S27">
        <v>21</v>
      </c>
      <c r="T27">
        <v>91</v>
      </c>
      <c r="U27" t="s">
        <v>487</v>
      </c>
      <c r="V27" t="s">
        <v>547</v>
      </c>
      <c r="W27" t="s">
        <v>843</v>
      </c>
      <c r="X27">
        <v>2010</v>
      </c>
      <c r="Y27" s="1">
        <v>52.71</v>
      </c>
      <c r="Z27" s="1"/>
      <c r="AA27" s="1"/>
      <c r="AC27">
        <v>102417</v>
      </c>
      <c r="AD27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6.1006944444444444E-4</v>
      </c>
      <c r="AE27" s="3">
        <f>IF(Table122110193494[[#This Row],[run 1 times]]="",999.99,IF(Table122110193494[[#This Row],[run 1 times]]=$AG$3,0,MAX(0,ROUND(((Table122110193494[[#This Row],[run 1 times]]-$AG$3)/$AG$3)*$AI$6,2))))</f>
        <v>44.99</v>
      </c>
    </row>
    <row r="28" spans="1:31" x14ac:dyDescent="0.3">
      <c r="A28">
        <v>1</v>
      </c>
      <c r="B28">
        <v>78</v>
      </c>
      <c r="C28" t="s">
        <v>24</v>
      </c>
      <c r="D28" t="s">
        <v>547</v>
      </c>
      <c r="E28" t="s">
        <v>751</v>
      </c>
      <c r="F28">
        <v>2010</v>
      </c>
      <c r="G28" s="1">
        <v>7.104166666666667E-4</v>
      </c>
      <c r="H28" s="1"/>
      <c r="I28" s="1"/>
      <c r="K28">
        <v>88776</v>
      </c>
      <c r="L28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7.104166666666667E-4</v>
      </c>
      <c r="M28" s="3">
        <f>IF(Table127163191[[#This Row],[run 1 times]]="",999.99,IF(Table127163191[[#This Row],[run 1 times]]=$O$3,0,MAX(0,ROUND(((Table127163191[[#This Row],[run 1 times]]-$O$3)/$O$3)*$Q$6,2))))</f>
        <v>247.27</v>
      </c>
      <c r="S28">
        <v>1</v>
      </c>
      <c r="T28">
        <v>112</v>
      </c>
      <c r="U28" t="s">
        <v>223</v>
      </c>
      <c r="V28" t="s">
        <v>572</v>
      </c>
      <c r="W28" t="s">
        <v>756</v>
      </c>
      <c r="X28">
        <v>2008</v>
      </c>
      <c r="Y28" s="1">
        <v>53.61</v>
      </c>
      <c r="Z28" s="1"/>
      <c r="AA28" s="1"/>
      <c r="AC28">
        <v>87549</v>
      </c>
      <c r="AD28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6.2048611111111115E-4</v>
      </c>
      <c r="AE28" s="3">
        <f>IF(Table122110193494[[#This Row],[run 1 times]]="",999.99,IF(Table122110193494[[#This Row],[run 1 times]]=$AG$3,0,MAX(0,ROUND(((Table122110193494[[#This Row],[run 1 times]]-$AG$3)/$AG$3)*$AI$6,2))))</f>
        <v>66.069999999999993</v>
      </c>
    </row>
    <row r="29" spans="1:31" x14ac:dyDescent="0.3">
      <c r="A29">
        <v>11</v>
      </c>
      <c r="B29">
        <v>89</v>
      </c>
      <c r="C29" t="s">
        <v>257</v>
      </c>
      <c r="D29" t="s">
        <v>547</v>
      </c>
      <c r="E29" t="s">
        <v>743</v>
      </c>
      <c r="F29">
        <v>2011</v>
      </c>
      <c r="G29" s="1">
        <v>7.2152777777777786E-4</v>
      </c>
      <c r="H29" s="1"/>
      <c r="I29" s="1"/>
      <c r="K29">
        <v>117685</v>
      </c>
      <c r="L29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7.2152777777777786E-4</v>
      </c>
      <c r="M29" s="3">
        <f>IF(Table127163191[[#This Row],[run 1 times]]="",999.99,IF(Table127163191[[#This Row],[run 1 times]]=$O$3,0,MAX(0,ROUND(((Table127163191[[#This Row],[run 1 times]]-$O$3)/$O$3)*$Q$6,2))))</f>
        <v>269.75</v>
      </c>
      <c r="S29">
        <v>30</v>
      </c>
      <c r="T29">
        <v>81</v>
      </c>
      <c r="U29" t="s">
        <v>479</v>
      </c>
      <c r="V29" t="s">
        <v>547</v>
      </c>
      <c r="W29" t="s">
        <v>750</v>
      </c>
      <c r="X29">
        <v>2011</v>
      </c>
      <c r="Y29" s="1">
        <v>53.95</v>
      </c>
      <c r="Z29" s="1"/>
      <c r="AA29" s="1"/>
      <c r="AC29">
        <v>101428</v>
      </c>
      <c r="AD29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6.2442129629629631E-4</v>
      </c>
      <c r="AE29" s="3">
        <f>IF(Table122110193494[[#This Row],[run 1 times]]="",999.99,IF(Table122110193494[[#This Row],[run 1 times]]=$AG$3,0,MAX(0,ROUND(((Table122110193494[[#This Row],[run 1 times]]-$AG$3)/$AG$3)*$AI$6,2))))</f>
        <v>74.040000000000006</v>
      </c>
    </row>
    <row r="30" spans="1:31" x14ac:dyDescent="0.3">
      <c r="A30">
        <v>3</v>
      </c>
      <c r="B30">
        <v>80</v>
      </c>
      <c r="C30" t="s">
        <v>487</v>
      </c>
      <c r="D30" t="s">
        <v>547</v>
      </c>
      <c r="E30" t="s">
        <v>747</v>
      </c>
      <c r="F30">
        <v>2011</v>
      </c>
      <c r="G30" s="1">
        <v>7.5150462962962974E-4</v>
      </c>
      <c r="H30" s="1"/>
      <c r="I30" s="1"/>
      <c r="K30">
        <v>88900</v>
      </c>
      <c r="L30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7.5150462962962974E-4</v>
      </c>
      <c r="M30" s="3">
        <f>IF(Table127163191[[#This Row],[run 1 times]]="",999.99,IF(Table127163191[[#This Row],[run 1 times]]=$O$3,0,MAX(0,ROUND(((Table127163191[[#This Row],[run 1 times]]-$O$3)/$O$3)*$Q$6,2))))</f>
        <v>330.4</v>
      </c>
      <c r="S30">
        <v>9</v>
      </c>
      <c r="T30">
        <v>103</v>
      </c>
      <c r="U30" t="s">
        <v>257</v>
      </c>
      <c r="V30" t="s">
        <v>547</v>
      </c>
      <c r="W30" t="s">
        <v>767</v>
      </c>
      <c r="X30">
        <v>2010</v>
      </c>
      <c r="Y30" s="1">
        <v>54.29</v>
      </c>
      <c r="Z30" s="1"/>
      <c r="AA30" s="1"/>
      <c r="AC30">
        <v>106380</v>
      </c>
      <c r="AD30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6.2835648148148147E-4</v>
      </c>
      <c r="AE30" s="3">
        <f>IF(Table122110193494[[#This Row],[run 1 times]]="",999.99,IF(Table122110193494[[#This Row],[run 1 times]]=$AG$3,0,MAX(0,ROUND(((Table122110193494[[#This Row],[run 1 times]]-$AG$3)/$AG$3)*$AI$6,2))))</f>
        <v>82</v>
      </c>
    </row>
    <row r="31" spans="1:31" x14ac:dyDescent="0.3">
      <c r="A31">
        <v>23</v>
      </c>
      <c r="B31">
        <v>101</v>
      </c>
      <c r="C31" t="s">
        <v>479</v>
      </c>
      <c r="D31" t="s">
        <v>547</v>
      </c>
      <c r="E31" t="s">
        <v>768</v>
      </c>
      <c r="F31">
        <v>2011</v>
      </c>
      <c r="G31" s="1" t="s">
        <v>510</v>
      </c>
      <c r="H31" s="1"/>
      <c r="I31" s="1"/>
      <c r="K31">
        <v>89891</v>
      </c>
      <c r="L31" s="2" t="str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31" s="3">
        <f>IF(Table127163191[[#This Row],[run 1 times]]="",999.99,IF(Table127163191[[#This Row],[run 1 times]]=$O$3,0,MAX(0,ROUND(((Table127163191[[#This Row],[run 1 times]]-$O$3)/$O$3)*$Q$6,2))))</f>
        <v>999.99</v>
      </c>
      <c r="S31">
        <v>17</v>
      </c>
      <c r="T31">
        <v>95</v>
      </c>
      <c r="U31" t="s">
        <v>24</v>
      </c>
      <c r="V31" t="s">
        <v>547</v>
      </c>
      <c r="W31" t="s">
        <v>742</v>
      </c>
      <c r="X31">
        <v>2010</v>
      </c>
      <c r="Y31" s="1">
        <v>54.4</v>
      </c>
      <c r="Z31" s="1"/>
      <c r="AA31" s="1"/>
      <c r="AC31">
        <v>89651</v>
      </c>
      <c r="AD31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6.2962962962962961E-4</v>
      </c>
      <c r="AE31" s="3">
        <f>IF(Table122110193494[[#This Row],[run 1 times]]="",999.99,IF(Table122110193494[[#This Row],[run 1 times]]=$AG$3,0,MAX(0,ROUND(((Table122110193494[[#This Row],[run 1 times]]-$AG$3)/$AG$3)*$AI$6,2))))</f>
        <v>84.58</v>
      </c>
    </row>
    <row r="32" spans="1:31" x14ac:dyDescent="0.3">
      <c r="A32">
        <v>29</v>
      </c>
      <c r="B32">
        <v>107</v>
      </c>
      <c r="C32" t="s">
        <v>223</v>
      </c>
      <c r="D32" t="s">
        <v>845</v>
      </c>
      <c r="E32" t="s">
        <v>757</v>
      </c>
      <c r="F32">
        <v>2007</v>
      </c>
      <c r="G32" s="1" t="s">
        <v>512</v>
      </c>
      <c r="H32" s="1"/>
      <c r="I32" s="1"/>
      <c r="K32">
        <v>126692</v>
      </c>
      <c r="L32" s="2" t="str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32" s="3">
        <f>IF(Table127163191[[#This Row],[run 1 times]]="",999.99,IF(Table127163191[[#This Row],[run 1 times]]=$O$3,0,MAX(0,ROUND(((Table127163191[[#This Row],[run 1 times]]-$O$3)/$O$3)*$Q$6,2))))</f>
        <v>999.99</v>
      </c>
      <c r="S32">
        <v>29</v>
      </c>
      <c r="T32">
        <v>82</v>
      </c>
      <c r="U32" t="s">
        <v>257</v>
      </c>
      <c r="V32" t="s">
        <v>572</v>
      </c>
      <c r="W32" t="s">
        <v>763</v>
      </c>
      <c r="X32">
        <v>2008</v>
      </c>
      <c r="Y32" s="1">
        <v>54.47</v>
      </c>
      <c r="Z32" s="1"/>
      <c r="AA32" s="1"/>
      <c r="AC32">
        <v>87497</v>
      </c>
      <c r="AD32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6.3043981481481479E-4</v>
      </c>
      <c r="AE32" s="3">
        <f>IF(Table122110193494[[#This Row],[run 1 times]]="",999.99,IF(Table122110193494[[#This Row],[run 1 times]]=$AG$3,0,MAX(0,ROUND(((Table122110193494[[#This Row],[run 1 times]]-$AG$3)/$AG$3)*$AI$6,2))))</f>
        <v>86.22</v>
      </c>
    </row>
    <row r="33" spans="1:31" x14ac:dyDescent="0.3">
      <c r="A33">
        <v>25</v>
      </c>
      <c r="B33">
        <v>103</v>
      </c>
      <c r="C33" t="s">
        <v>257</v>
      </c>
      <c r="D33" t="s">
        <v>547</v>
      </c>
      <c r="E33" t="s">
        <v>767</v>
      </c>
      <c r="F33">
        <v>2010</v>
      </c>
      <c r="G33" s="1" t="s">
        <v>512</v>
      </c>
      <c r="H33" s="1"/>
      <c r="I33" s="1"/>
      <c r="K33">
        <v>106380</v>
      </c>
      <c r="L33" s="2" t="str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33" s="3">
        <f>IF(Table127163191[[#This Row],[run 1 times]]="",999.99,IF(Table127163191[[#This Row],[run 1 times]]=$O$3,0,MAX(0,ROUND(((Table127163191[[#This Row],[run 1 times]]-$O$3)/$O$3)*$Q$6,2))))</f>
        <v>999.99</v>
      </c>
      <c r="S33">
        <v>15</v>
      </c>
      <c r="T33">
        <v>97</v>
      </c>
      <c r="U33" t="s">
        <v>24</v>
      </c>
      <c r="V33" t="s">
        <v>547</v>
      </c>
      <c r="W33" t="s">
        <v>762</v>
      </c>
      <c r="X33">
        <v>2011</v>
      </c>
      <c r="Y33" s="1">
        <v>54.82</v>
      </c>
      <c r="Z33" s="1"/>
      <c r="AA33" s="1"/>
      <c r="AC33">
        <v>89867</v>
      </c>
      <c r="AD33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6.344907407407407E-4</v>
      </c>
      <c r="AE33" s="3">
        <f>IF(Table122110193494[[#This Row],[run 1 times]]="",999.99,IF(Table122110193494[[#This Row],[run 1 times]]=$AG$3,0,MAX(0,ROUND(((Table122110193494[[#This Row],[run 1 times]]-$AG$3)/$AG$3)*$AI$6,2))))</f>
        <v>94.42</v>
      </c>
    </row>
    <row r="34" spans="1:31" x14ac:dyDescent="0.3">
      <c r="A34">
        <v>20</v>
      </c>
      <c r="B34">
        <v>98</v>
      </c>
      <c r="C34" t="s">
        <v>24</v>
      </c>
      <c r="D34" t="s">
        <v>572</v>
      </c>
      <c r="E34" t="s">
        <v>848</v>
      </c>
      <c r="F34">
        <v>2009</v>
      </c>
      <c r="G34" s="1" t="s">
        <v>512</v>
      </c>
      <c r="H34" s="1"/>
      <c r="I34" s="1"/>
      <c r="K34">
        <v>93748</v>
      </c>
      <c r="L34" s="2" t="str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34" s="3">
        <f>IF(Table127163191[[#This Row],[run 1 times]]="",999.99,IF(Table127163191[[#This Row],[run 1 times]]=$O$3,0,MAX(0,ROUND(((Table127163191[[#This Row],[run 1 times]]-$O$3)/$O$3)*$Q$6,2))))</f>
        <v>999.99</v>
      </c>
      <c r="S34">
        <v>14</v>
      </c>
      <c r="T34">
        <v>98</v>
      </c>
      <c r="U34" t="s">
        <v>24</v>
      </c>
      <c r="V34" t="s">
        <v>572</v>
      </c>
      <c r="W34" t="s">
        <v>848</v>
      </c>
      <c r="X34">
        <v>2009</v>
      </c>
      <c r="Y34" s="1">
        <v>54.95</v>
      </c>
      <c r="Z34" s="1"/>
      <c r="AA34" s="1"/>
      <c r="AC34">
        <v>93748</v>
      </c>
      <c r="AD34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6.3599537037037043E-4</v>
      </c>
      <c r="AE34" s="3">
        <f>IF(Table122110193494[[#This Row],[run 1 times]]="",999.99,IF(Table122110193494[[#This Row],[run 1 times]]=$AG$3,0,MAX(0,ROUND(((Table122110193494[[#This Row],[run 1 times]]-$AG$3)/$AG$3)*$AI$6,2))))</f>
        <v>97.47</v>
      </c>
    </row>
    <row r="35" spans="1:31" x14ac:dyDescent="0.3">
      <c r="A35">
        <v>2</v>
      </c>
      <c r="B35">
        <v>79</v>
      </c>
      <c r="C35" t="s">
        <v>373</v>
      </c>
      <c r="D35" t="s">
        <v>547</v>
      </c>
      <c r="E35" t="s">
        <v>753</v>
      </c>
      <c r="F35">
        <v>2011</v>
      </c>
      <c r="G35" s="1" t="s">
        <v>512</v>
      </c>
      <c r="H35" s="1"/>
      <c r="I35" s="1"/>
      <c r="K35">
        <v>112387</v>
      </c>
      <c r="L35" s="2" t="str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35" s="3">
        <f>IF(Table127163191[[#This Row],[run 1 times]]="",999.99,IF(Table127163191[[#This Row],[run 1 times]]=$O$3,0,MAX(0,ROUND(((Table127163191[[#This Row],[run 1 times]]-$O$3)/$O$3)*$Q$6,2))))</f>
        <v>999.99</v>
      </c>
      <c r="S35">
        <v>26</v>
      </c>
      <c r="T35">
        <v>85</v>
      </c>
      <c r="U35" t="s">
        <v>24</v>
      </c>
      <c r="V35" t="s">
        <v>547</v>
      </c>
      <c r="W35" t="s">
        <v>754</v>
      </c>
      <c r="X35">
        <v>2010</v>
      </c>
      <c r="Y35" s="1">
        <v>55.52</v>
      </c>
      <c r="Z35" s="1"/>
      <c r="AA35" s="1"/>
      <c r="AC35">
        <v>93749</v>
      </c>
      <c r="AD35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6.4259259259259261E-4</v>
      </c>
      <c r="AE35" s="3">
        <f>IF(Table122110193494[[#This Row],[run 1 times]]="",999.99,IF(Table122110193494[[#This Row],[run 1 times]]=$AG$3,0,MAX(0,ROUND(((Table122110193494[[#This Row],[run 1 times]]-$AG$3)/$AG$3)*$AI$6,2))))</f>
        <v>110.82</v>
      </c>
    </row>
    <row r="36" spans="1:31" x14ac:dyDescent="0.3">
      <c r="A36">
        <v>18</v>
      </c>
      <c r="B36">
        <v>74</v>
      </c>
      <c r="C36" t="s">
        <v>882</v>
      </c>
      <c r="D36" t="s">
        <v>522</v>
      </c>
      <c r="E36" t="s">
        <v>883</v>
      </c>
      <c r="F36">
        <v>2012</v>
      </c>
      <c r="G36" s="1">
        <v>53.4</v>
      </c>
      <c r="H36" s="1"/>
      <c r="I36" s="1"/>
      <c r="K36">
        <v>113772</v>
      </c>
      <c r="L36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6.180555555555555E-4</v>
      </c>
      <c r="M36" s="3">
        <f>IF(Table127163191[[#This Row],[run 1 times]]="",999.99,IF(Table127163191[[#This Row],[run 1 times]]=$O$3,0,MAX(0,ROUND(((Table127163191[[#This Row],[run 1 times]]-$O$3)/$O$3)*$Q$6,2))))</f>
        <v>60.41</v>
      </c>
      <c r="S36">
        <v>4</v>
      </c>
      <c r="T36">
        <v>108</v>
      </c>
      <c r="U36" t="s">
        <v>487</v>
      </c>
      <c r="V36" t="s">
        <v>547</v>
      </c>
      <c r="W36" t="s">
        <v>836</v>
      </c>
      <c r="X36">
        <v>2010</v>
      </c>
      <c r="Y36" s="1">
        <v>55.6</v>
      </c>
      <c r="Z36" s="1"/>
      <c r="AA36" s="1"/>
      <c r="AC36">
        <v>89850</v>
      </c>
      <c r="AD36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6.4351851851851853E-4</v>
      </c>
      <c r="AE36" s="3">
        <f>IF(Table122110193494[[#This Row],[run 1 times]]="",999.99,IF(Table122110193494[[#This Row],[run 1 times]]=$AG$3,0,MAX(0,ROUND(((Table122110193494[[#This Row],[run 1 times]]-$AG$3)/$AG$3)*$AI$6,2))))</f>
        <v>112.7</v>
      </c>
    </row>
    <row r="37" spans="1:31" x14ac:dyDescent="0.3">
      <c r="A37">
        <v>8</v>
      </c>
      <c r="B37">
        <v>63</v>
      </c>
      <c r="C37" t="s">
        <v>223</v>
      </c>
      <c r="D37" t="s">
        <v>522</v>
      </c>
      <c r="E37" t="s">
        <v>672</v>
      </c>
      <c r="F37">
        <v>2013</v>
      </c>
      <c r="G37" s="1">
        <v>56.04</v>
      </c>
      <c r="H37" s="1"/>
      <c r="I37" s="1"/>
      <c r="K37">
        <v>105181</v>
      </c>
      <c r="L37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6.4861111111111109E-4</v>
      </c>
      <c r="M37" s="3">
        <f>IF(Table127163191[[#This Row],[run 1 times]]="",999.99,IF(Table127163191[[#This Row],[run 1 times]]=$O$3,0,MAX(0,ROUND(((Table127163191[[#This Row],[run 1 times]]-$O$3)/$O$3)*$Q$6,2))))</f>
        <v>122.23</v>
      </c>
      <c r="S37">
        <v>5</v>
      </c>
      <c r="T37">
        <v>107</v>
      </c>
      <c r="U37" t="s">
        <v>223</v>
      </c>
      <c r="V37" t="s">
        <v>845</v>
      </c>
      <c r="W37" t="s">
        <v>757</v>
      </c>
      <c r="X37">
        <v>2007</v>
      </c>
      <c r="Y37" s="1">
        <v>55.62</v>
      </c>
      <c r="Z37" s="1"/>
      <c r="AA37" s="1"/>
      <c r="AC37">
        <v>126692</v>
      </c>
      <c r="AD37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6.4375000000000001E-4</v>
      </c>
      <c r="AE37" s="3">
        <f>IF(Table122110193494[[#This Row],[run 1 times]]="",999.99,IF(Table122110193494[[#This Row],[run 1 times]]=$AG$3,0,MAX(0,ROUND(((Table122110193494[[#This Row],[run 1 times]]-$AG$3)/$AG$3)*$AI$6,2))))</f>
        <v>113.17</v>
      </c>
    </row>
    <row r="38" spans="1:31" x14ac:dyDescent="0.3">
      <c r="A38">
        <v>2</v>
      </c>
      <c r="B38">
        <v>57</v>
      </c>
      <c r="C38" t="s">
        <v>373</v>
      </c>
      <c r="D38" t="s">
        <v>522</v>
      </c>
      <c r="E38" t="s">
        <v>674</v>
      </c>
      <c r="F38">
        <v>2012</v>
      </c>
      <c r="G38" s="1">
        <v>56.91</v>
      </c>
      <c r="H38" s="1"/>
      <c r="I38" s="1"/>
      <c r="K38">
        <v>122060</v>
      </c>
      <c r="L38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6.5868055555555547E-4</v>
      </c>
      <c r="M38" s="3">
        <f>IF(Table127163191[[#This Row],[run 1 times]]="",999.99,IF(Table127163191[[#This Row],[run 1 times]]=$O$3,0,MAX(0,ROUND(((Table127163191[[#This Row],[run 1 times]]-$O$3)/$O$3)*$Q$6,2))))</f>
        <v>142.6</v>
      </c>
      <c r="S38">
        <v>8</v>
      </c>
      <c r="T38">
        <v>104</v>
      </c>
      <c r="U38" t="s">
        <v>223</v>
      </c>
      <c r="V38" t="s">
        <v>547</v>
      </c>
      <c r="W38" t="s">
        <v>745</v>
      </c>
      <c r="X38">
        <v>2011</v>
      </c>
      <c r="Y38" s="1">
        <v>55.89</v>
      </c>
      <c r="Z38" s="1"/>
      <c r="AA38" s="1"/>
      <c r="AC38">
        <v>102458</v>
      </c>
      <c r="AD38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6.4687499999999999E-4</v>
      </c>
      <c r="AE38" s="3">
        <f>IF(Table122110193494[[#This Row],[run 1 times]]="",999.99,IF(Table122110193494[[#This Row],[run 1 times]]=$AG$3,0,MAX(0,ROUND(((Table122110193494[[#This Row],[run 1 times]]-$AG$3)/$AG$3)*$AI$6,2))))</f>
        <v>119.49</v>
      </c>
    </row>
    <row r="39" spans="1:31" x14ac:dyDescent="0.3">
      <c r="A39">
        <v>14</v>
      </c>
      <c r="B39">
        <v>70</v>
      </c>
      <c r="C39" t="s">
        <v>479</v>
      </c>
      <c r="D39" t="s">
        <v>522</v>
      </c>
      <c r="E39" t="s">
        <v>700</v>
      </c>
      <c r="F39">
        <v>2013</v>
      </c>
      <c r="G39" s="1">
        <v>57.29</v>
      </c>
      <c r="H39" s="1"/>
      <c r="I39" s="1"/>
      <c r="K39">
        <v>101432</v>
      </c>
      <c r="L39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6.630787037037037E-4</v>
      </c>
      <c r="M39" s="3">
        <f>IF(Table127163191[[#This Row],[run 1 times]]="",999.99,IF(Table127163191[[#This Row],[run 1 times]]=$O$3,0,MAX(0,ROUND(((Table127163191[[#This Row],[run 1 times]]-$O$3)/$O$3)*$Q$6,2))))</f>
        <v>151.5</v>
      </c>
      <c r="S39">
        <v>24</v>
      </c>
      <c r="T39">
        <v>88</v>
      </c>
      <c r="U39" t="s">
        <v>223</v>
      </c>
      <c r="V39" t="s">
        <v>547</v>
      </c>
      <c r="W39" t="s">
        <v>746</v>
      </c>
      <c r="X39">
        <v>2011</v>
      </c>
      <c r="Y39" s="1">
        <v>56.46</v>
      </c>
      <c r="Z39" s="1"/>
      <c r="AA39" s="1"/>
      <c r="AC39">
        <v>93462</v>
      </c>
      <c r="AD39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6.5347222222222228E-4</v>
      </c>
      <c r="AE39" s="3">
        <f>IF(Table122110193494[[#This Row],[run 1 times]]="",999.99,IF(Table122110193494[[#This Row],[run 1 times]]=$AG$3,0,MAX(0,ROUND(((Table122110193494[[#This Row],[run 1 times]]-$AG$3)/$AG$3)*$AI$6,2))))</f>
        <v>132.85</v>
      </c>
    </row>
    <row r="40" spans="1:31" x14ac:dyDescent="0.3">
      <c r="A40">
        <v>5</v>
      </c>
      <c r="B40">
        <v>60</v>
      </c>
      <c r="C40" t="s">
        <v>487</v>
      </c>
      <c r="D40" t="s">
        <v>522</v>
      </c>
      <c r="E40" t="s">
        <v>699</v>
      </c>
      <c r="F40">
        <v>2012</v>
      </c>
      <c r="G40" s="1">
        <v>57.47</v>
      </c>
      <c r="H40" s="1"/>
      <c r="I40" s="1"/>
      <c r="K40">
        <v>102437</v>
      </c>
      <c r="L40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6.6516203703703702E-4</v>
      </c>
      <c r="M40" s="3">
        <f>IF(Table127163191[[#This Row],[run 1 times]]="",999.99,IF(Table127163191[[#This Row],[run 1 times]]=$O$3,0,MAX(0,ROUND(((Table127163191[[#This Row],[run 1 times]]-$O$3)/$O$3)*$Q$6,2))))</f>
        <v>155.72</v>
      </c>
      <c r="S40">
        <v>10</v>
      </c>
      <c r="T40">
        <v>102</v>
      </c>
      <c r="U40" t="s">
        <v>24</v>
      </c>
      <c r="V40" t="s">
        <v>547</v>
      </c>
      <c r="W40" t="s">
        <v>759</v>
      </c>
      <c r="X40">
        <v>2011</v>
      </c>
      <c r="Y40" s="1">
        <v>56.59</v>
      </c>
      <c r="Z40" s="1"/>
      <c r="AA40" s="1"/>
      <c r="AC40">
        <v>88784</v>
      </c>
      <c r="AD40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6.549768518518519E-4</v>
      </c>
      <c r="AE40" s="3">
        <f>IF(Table122110193494[[#This Row],[run 1 times]]="",999.99,IF(Table122110193494[[#This Row],[run 1 times]]=$AG$3,0,MAX(0,ROUND(((Table122110193494[[#This Row],[run 1 times]]-$AG$3)/$AG$3)*$AI$6,2))))</f>
        <v>135.88999999999999</v>
      </c>
    </row>
    <row r="41" spans="1:31" x14ac:dyDescent="0.3">
      <c r="A41">
        <v>4</v>
      </c>
      <c r="B41">
        <v>59</v>
      </c>
      <c r="C41" t="s">
        <v>479</v>
      </c>
      <c r="D41" t="s">
        <v>522</v>
      </c>
      <c r="E41" t="s">
        <v>673</v>
      </c>
      <c r="F41">
        <v>2012</v>
      </c>
      <c r="G41" s="1">
        <v>58.09</v>
      </c>
      <c r="H41" s="1"/>
      <c r="I41" s="1"/>
      <c r="K41">
        <v>108263</v>
      </c>
      <c r="L41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6.7233796296296301E-4</v>
      </c>
      <c r="M41" s="3">
        <f>IF(Table127163191[[#This Row],[run 1 times]]="",999.99,IF(Table127163191[[#This Row],[run 1 times]]=$O$3,0,MAX(0,ROUND(((Table127163191[[#This Row],[run 1 times]]-$O$3)/$O$3)*$Q$6,2))))</f>
        <v>170.23</v>
      </c>
      <c r="S41">
        <v>19</v>
      </c>
      <c r="T41">
        <v>93</v>
      </c>
      <c r="U41" t="s">
        <v>373</v>
      </c>
      <c r="V41" t="s">
        <v>547</v>
      </c>
      <c r="W41" t="s">
        <v>758</v>
      </c>
      <c r="X41">
        <v>2011</v>
      </c>
      <c r="Y41" s="1">
        <v>56.96</v>
      </c>
      <c r="Z41" s="1"/>
      <c r="AA41" s="1"/>
      <c r="AC41">
        <v>94814</v>
      </c>
      <c r="AD41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6.5925925925925928E-4</v>
      </c>
      <c r="AE41" s="3">
        <f>IF(Table122110193494[[#This Row],[run 1 times]]="",999.99,IF(Table122110193494[[#This Row],[run 1 times]]=$AG$3,0,MAX(0,ROUND(((Table122110193494[[#This Row],[run 1 times]]-$AG$3)/$AG$3)*$AI$6,2))))</f>
        <v>144.56</v>
      </c>
    </row>
    <row r="42" spans="1:31" x14ac:dyDescent="0.3">
      <c r="A42">
        <v>1</v>
      </c>
      <c r="B42">
        <v>56</v>
      </c>
      <c r="C42" t="s">
        <v>257</v>
      </c>
      <c r="D42" t="s">
        <v>522</v>
      </c>
      <c r="E42" t="s">
        <v>709</v>
      </c>
      <c r="F42">
        <v>2012</v>
      </c>
      <c r="G42" s="1">
        <v>58.78</v>
      </c>
      <c r="H42" s="1"/>
      <c r="I42" s="1"/>
      <c r="K42">
        <v>107305</v>
      </c>
      <c r="L42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6.8032407407407408E-4</v>
      </c>
      <c r="M42" s="3">
        <f>IF(Table127163191[[#This Row],[run 1 times]]="",999.99,IF(Table127163191[[#This Row],[run 1 times]]=$O$3,0,MAX(0,ROUND(((Table127163191[[#This Row],[run 1 times]]-$O$3)/$O$3)*$Q$6,2))))</f>
        <v>186.39</v>
      </c>
      <c r="S42">
        <v>27</v>
      </c>
      <c r="T42">
        <v>84</v>
      </c>
      <c r="U42" t="s">
        <v>257</v>
      </c>
      <c r="V42" t="s">
        <v>547</v>
      </c>
      <c r="W42" t="s">
        <v>766</v>
      </c>
      <c r="X42">
        <v>2011</v>
      </c>
      <c r="Y42" s="1">
        <v>57.13</v>
      </c>
      <c r="Z42" s="1"/>
      <c r="AA42" s="1"/>
      <c r="AC42">
        <v>102722</v>
      </c>
      <c r="AD42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6.6122685185185186E-4</v>
      </c>
      <c r="AE42" s="3">
        <f>IF(Table122110193494[[#This Row],[run 1 times]]="",999.99,IF(Table122110193494[[#This Row],[run 1 times]]=$AG$3,0,MAX(0,ROUND(((Table122110193494[[#This Row],[run 1 times]]-$AG$3)/$AG$3)*$AI$6,2))))</f>
        <v>148.54</v>
      </c>
    </row>
    <row r="43" spans="1:31" x14ac:dyDescent="0.3">
      <c r="A43">
        <v>6</v>
      </c>
      <c r="B43">
        <v>61</v>
      </c>
      <c r="C43" t="s">
        <v>257</v>
      </c>
      <c r="D43" t="s">
        <v>522</v>
      </c>
      <c r="E43" t="s">
        <v>675</v>
      </c>
      <c r="F43">
        <v>2013</v>
      </c>
      <c r="G43" s="1">
        <v>59.22</v>
      </c>
      <c r="H43" s="1"/>
      <c r="I43" s="1"/>
      <c r="K43">
        <v>117684</v>
      </c>
      <c r="L43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6.8541666666666664E-4</v>
      </c>
      <c r="M43" s="3">
        <f>IF(Table127163191[[#This Row],[run 1 times]]="",999.99,IF(Table127163191[[#This Row],[run 1 times]]=$O$3,0,MAX(0,ROUND(((Table127163191[[#This Row],[run 1 times]]-$O$3)/$O$3)*$Q$6,2))))</f>
        <v>196.69</v>
      </c>
      <c r="S43">
        <v>2</v>
      </c>
      <c r="T43">
        <v>110</v>
      </c>
      <c r="U43" t="s">
        <v>257</v>
      </c>
      <c r="V43" t="s">
        <v>572</v>
      </c>
      <c r="W43" t="s">
        <v>898</v>
      </c>
      <c r="X43">
        <v>2009</v>
      </c>
      <c r="Y43" s="1">
        <v>57.44</v>
      </c>
      <c r="Z43" s="1"/>
      <c r="AA43" s="1"/>
      <c r="AC43">
        <v>108195</v>
      </c>
      <c r="AD43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6.648148148148148E-4</v>
      </c>
      <c r="AE43" s="3">
        <f>IF(Table122110193494[[#This Row],[run 1 times]]="",999.99,IF(Table122110193494[[#This Row],[run 1 times]]=$AG$3,0,MAX(0,ROUND(((Table122110193494[[#This Row],[run 1 times]]-$AG$3)/$AG$3)*$AI$6,2))))</f>
        <v>155.81</v>
      </c>
    </row>
    <row r="44" spans="1:31" x14ac:dyDescent="0.3">
      <c r="A44">
        <v>9</v>
      </c>
      <c r="B44">
        <v>64</v>
      </c>
      <c r="C44" t="s">
        <v>479</v>
      </c>
      <c r="D44" t="s">
        <v>522</v>
      </c>
      <c r="E44" t="s">
        <v>677</v>
      </c>
      <c r="F44">
        <v>2012</v>
      </c>
      <c r="G44" s="1">
        <v>59.49</v>
      </c>
      <c r="H44" s="1"/>
      <c r="I44" s="1"/>
      <c r="K44">
        <v>102357</v>
      </c>
      <c r="L44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6.8854166666666673E-4</v>
      </c>
      <c r="M44" s="3">
        <f>IF(Table127163191[[#This Row],[run 1 times]]="",999.99,IF(Table127163191[[#This Row],[run 1 times]]=$O$3,0,MAX(0,ROUND(((Table127163191[[#This Row],[run 1 times]]-$O$3)/$O$3)*$Q$6,2))))</f>
        <v>203.02</v>
      </c>
      <c r="S44">
        <v>12</v>
      </c>
      <c r="T44">
        <v>100</v>
      </c>
      <c r="U44" t="s">
        <v>257</v>
      </c>
      <c r="V44" t="s">
        <v>547</v>
      </c>
      <c r="W44" t="s">
        <v>744</v>
      </c>
      <c r="X44">
        <v>2010</v>
      </c>
      <c r="Y44" s="1">
        <v>58.19</v>
      </c>
      <c r="Z44" s="1"/>
      <c r="AA44" s="1"/>
      <c r="AC44">
        <v>102725</v>
      </c>
      <c r="AD44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6.7349537037037031E-4</v>
      </c>
      <c r="AE44" s="3">
        <f>IF(Table122110193494[[#This Row],[run 1 times]]="",999.99,IF(Table122110193494[[#This Row],[run 1 times]]=$AG$3,0,MAX(0,ROUND(((Table122110193494[[#This Row],[run 1 times]]-$AG$3)/$AG$3)*$AI$6,2))))</f>
        <v>173.38</v>
      </c>
    </row>
    <row r="45" spans="1:31" x14ac:dyDescent="0.3">
      <c r="A45">
        <v>10</v>
      </c>
      <c r="B45">
        <v>65</v>
      </c>
      <c r="C45" t="s">
        <v>257</v>
      </c>
      <c r="D45" t="s">
        <v>522</v>
      </c>
      <c r="E45" t="s">
        <v>698</v>
      </c>
      <c r="F45">
        <v>2012</v>
      </c>
      <c r="G45" s="1">
        <v>59.56</v>
      </c>
      <c r="H45" s="1"/>
      <c r="I45" s="1"/>
      <c r="K45">
        <v>102726</v>
      </c>
      <c r="L45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6.8935185185185191E-4</v>
      </c>
      <c r="M45" s="3">
        <f>IF(Table127163191[[#This Row],[run 1 times]]="",999.99,IF(Table127163191[[#This Row],[run 1 times]]=$O$3,0,MAX(0,ROUND(((Table127163191[[#This Row],[run 1 times]]-$O$3)/$O$3)*$Q$6,2))))</f>
        <v>204.66</v>
      </c>
      <c r="S45">
        <v>22</v>
      </c>
      <c r="T45">
        <v>90</v>
      </c>
      <c r="U45" t="s">
        <v>24</v>
      </c>
      <c r="V45" t="s">
        <v>547</v>
      </c>
      <c r="W45" t="s">
        <v>850</v>
      </c>
      <c r="X45">
        <v>2010</v>
      </c>
      <c r="Y45" s="1">
        <v>58.35</v>
      </c>
      <c r="Z45" s="1"/>
      <c r="AA45" s="1"/>
      <c r="AC45">
        <v>87565</v>
      </c>
      <c r="AD45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6.7534722222222226E-4</v>
      </c>
      <c r="AE45" s="3">
        <f>IF(Table122110193494[[#This Row],[run 1 times]]="",999.99,IF(Table122110193494[[#This Row],[run 1 times]]=$AG$3,0,MAX(0,ROUND(((Table122110193494[[#This Row],[run 1 times]]-$AG$3)/$AG$3)*$AI$6,2))))</f>
        <v>177.13</v>
      </c>
    </row>
    <row r="46" spans="1:31" x14ac:dyDescent="0.3">
      <c r="A46">
        <v>11</v>
      </c>
      <c r="B46">
        <v>67</v>
      </c>
      <c r="C46" t="s">
        <v>257</v>
      </c>
      <c r="D46" t="s">
        <v>522</v>
      </c>
      <c r="E46" t="s">
        <v>712</v>
      </c>
      <c r="F46">
        <v>2012</v>
      </c>
      <c r="G46" s="1">
        <v>6.9953703703703703E-4</v>
      </c>
      <c r="H46" s="1"/>
      <c r="I46" s="1"/>
      <c r="K46">
        <v>117686</v>
      </c>
      <c r="L46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6.9953703703703703E-4</v>
      </c>
      <c r="M46" s="3">
        <f>IF(Table127163191[[#This Row],[run 1 times]]="",999.99,IF(Table127163191[[#This Row],[run 1 times]]=$O$3,0,MAX(0,ROUND(((Table127163191[[#This Row],[run 1 times]]-$O$3)/$O$3)*$Q$6,2))))</f>
        <v>225.26</v>
      </c>
      <c r="S46">
        <v>18</v>
      </c>
      <c r="T46">
        <v>94</v>
      </c>
      <c r="U46" t="s">
        <v>838</v>
      </c>
      <c r="V46" t="s">
        <v>547</v>
      </c>
      <c r="W46" t="s">
        <v>839</v>
      </c>
      <c r="X46">
        <v>2011</v>
      </c>
      <c r="Y46" s="1">
        <v>59.99</v>
      </c>
      <c r="Z46" s="1"/>
      <c r="AA46" s="1"/>
      <c r="AC46">
        <v>112467</v>
      </c>
      <c r="AD46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6.9432870370370373E-4</v>
      </c>
      <c r="AE46" s="3">
        <f>IF(Table122110193494[[#This Row],[run 1 times]]="",999.99,IF(Table122110193494[[#This Row],[run 1 times]]=$AG$3,0,MAX(0,ROUND(((Table122110193494[[#This Row],[run 1 times]]-$AG$3)/$AG$3)*$AI$6,2))))</f>
        <v>215.55</v>
      </c>
    </row>
    <row r="47" spans="1:31" x14ac:dyDescent="0.3">
      <c r="A47">
        <v>15</v>
      </c>
      <c r="B47">
        <v>71</v>
      </c>
      <c r="C47" t="s">
        <v>487</v>
      </c>
      <c r="D47" t="s">
        <v>522</v>
      </c>
      <c r="E47" t="s">
        <v>705</v>
      </c>
      <c r="F47">
        <v>2012</v>
      </c>
      <c r="G47" s="1">
        <v>6.9988425925925925E-4</v>
      </c>
      <c r="H47" s="1"/>
      <c r="I47" s="1"/>
      <c r="K47">
        <v>121018</v>
      </c>
      <c r="L47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6.9988425925925925E-4</v>
      </c>
      <c r="M47" s="3">
        <f>IF(Table127163191[[#This Row],[run 1 times]]="",999.99,IF(Table127163191[[#This Row],[run 1 times]]=$O$3,0,MAX(0,ROUND(((Table127163191[[#This Row],[run 1 times]]-$O$3)/$O$3)*$Q$6,2))))</f>
        <v>225.96</v>
      </c>
      <c r="S47">
        <v>33</v>
      </c>
      <c r="T47">
        <v>78</v>
      </c>
      <c r="U47" t="s">
        <v>24</v>
      </c>
      <c r="V47" t="s">
        <v>547</v>
      </c>
      <c r="W47" t="s">
        <v>751</v>
      </c>
      <c r="X47">
        <v>2010</v>
      </c>
      <c r="Y47" s="1">
        <v>7.0543981481481488E-4</v>
      </c>
      <c r="Z47" s="1"/>
      <c r="AA47" s="1"/>
      <c r="AC47">
        <v>88776</v>
      </c>
      <c r="AD47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7.0543981481481488E-4</v>
      </c>
      <c r="AE47" s="3">
        <f>IF(Table122110193494[[#This Row],[run 1 times]]="",999.99,IF(Table122110193494[[#This Row],[run 1 times]]=$AG$3,0,MAX(0,ROUND(((Table122110193494[[#This Row],[run 1 times]]-$AG$3)/$AG$3)*$AI$6,2))))</f>
        <v>238.05</v>
      </c>
    </row>
    <row r="48" spans="1:31" x14ac:dyDescent="0.3">
      <c r="A48">
        <v>3</v>
      </c>
      <c r="B48">
        <v>58</v>
      </c>
      <c r="C48" t="s">
        <v>479</v>
      </c>
      <c r="D48" t="s">
        <v>522</v>
      </c>
      <c r="E48" t="s">
        <v>678</v>
      </c>
      <c r="F48">
        <v>2012</v>
      </c>
      <c r="G48" s="1">
        <v>7.0416666666666674E-4</v>
      </c>
      <c r="H48" s="1"/>
      <c r="I48" s="1"/>
      <c r="K48">
        <v>108194</v>
      </c>
      <c r="L48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7.0416666666666674E-4</v>
      </c>
      <c r="M48" s="3">
        <f>IF(Table127163191[[#This Row],[run 1 times]]="",999.99,IF(Table127163191[[#This Row],[run 1 times]]=$O$3,0,MAX(0,ROUND(((Table127163191[[#This Row],[run 1 times]]-$O$3)/$O$3)*$Q$6,2))))</f>
        <v>234.63</v>
      </c>
      <c r="S48">
        <v>23</v>
      </c>
      <c r="T48">
        <v>89</v>
      </c>
      <c r="U48" t="s">
        <v>257</v>
      </c>
      <c r="V48" t="s">
        <v>547</v>
      </c>
      <c r="W48" t="s">
        <v>743</v>
      </c>
      <c r="X48">
        <v>2011</v>
      </c>
      <c r="Y48" s="1">
        <v>7.1064814814814819E-4</v>
      </c>
      <c r="Z48" s="1"/>
      <c r="AA48" s="1"/>
      <c r="AC48">
        <v>117685</v>
      </c>
      <c r="AD48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7.1064814814814819E-4</v>
      </c>
      <c r="AE48" s="3">
        <f>IF(Table122110193494[[#This Row],[run 1 times]]="",999.99,IF(Table122110193494[[#This Row],[run 1 times]]=$AG$3,0,MAX(0,ROUND(((Table122110193494[[#This Row],[run 1 times]]-$AG$3)/$AG$3)*$AI$6,2))))</f>
        <v>248.59</v>
      </c>
    </row>
    <row r="49" spans="1:31" x14ac:dyDescent="0.3">
      <c r="A49">
        <v>12</v>
      </c>
      <c r="B49">
        <v>68</v>
      </c>
      <c r="C49" t="s">
        <v>24</v>
      </c>
      <c r="D49" t="s">
        <v>522</v>
      </c>
      <c r="E49" t="s">
        <v>893</v>
      </c>
      <c r="F49">
        <v>2013</v>
      </c>
      <c r="G49" s="1">
        <v>7.8194444444444448E-4</v>
      </c>
      <c r="H49" s="1"/>
      <c r="I49" s="1"/>
      <c r="K49">
        <v>102827</v>
      </c>
      <c r="L49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7.8194444444444448E-4</v>
      </c>
      <c r="M49" s="3">
        <f>IF(Table127163191[[#This Row],[run 1 times]]="",999.99,IF(Table127163191[[#This Row],[run 1 times]]=$O$3,0,MAX(0,ROUND(((Table127163191[[#This Row],[run 1 times]]-$O$3)/$O$3)*$Q$6,2))))</f>
        <v>391.98</v>
      </c>
      <c r="S49">
        <v>28</v>
      </c>
      <c r="T49">
        <v>83</v>
      </c>
      <c r="U49" t="s">
        <v>257</v>
      </c>
      <c r="V49" t="s">
        <v>547</v>
      </c>
      <c r="W49" t="s">
        <v>741</v>
      </c>
      <c r="X49">
        <v>2010</v>
      </c>
      <c r="Y49" s="1">
        <v>7.1296296296296299E-4</v>
      </c>
      <c r="Z49" s="1"/>
      <c r="AA49" s="1"/>
      <c r="AC49">
        <v>102719</v>
      </c>
      <c r="AD49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7.1296296296296299E-4</v>
      </c>
      <c r="AE49" s="3">
        <f>IF(Table122110193494[[#This Row],[run 1 times]]="",999.99,IF(Table122110193494[[#This Row],[run 1 times]]=$AG$3,0,MAX(0,ROUND(((Table122110193494[[#This Row],[run 1 times]]-$AG$3)/$AG$3)*$AI$6,2))))</f>
        <v>253.28</v>
      </c>
    </row>
    <row r="50" spans="1:31" x14ac:dyDescent="0.3">
      <c r="A50">
        <v>21</v>
      </c>
      <c r="B50">
        <v>77</v>
      </c>
      <c r="C50" t="s">
        <v>826</v>
      </c>
      <c r="D50" t="s">
        <v>522</v>
      </c>
      <c r="E50" t="s">
        <v>885</v>
      </c>
      <c r="F50">
        <v>2013</v>
      </c>
      <c r="G50" s="1">
        <v>7.8495370370370362E-4</v>
      </c>
      <c r="H50" s="1"/>
      <c r="I50" s="1"/>
      <c r="K50">
        <v>112478</v>
      </c>
      <c r="L50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7.8495370370370362E-4</v>
      </c>
      <c r="M50" s="3">
        <f>IF(Table127163191[[#This Row],[run 1 times]]="",999.99,IF(Table127163191[[#This Row],[run 1 times]]=$O$3,0,MAX(0,ROUND(((Table127163191[[#This Row],[run 1 times]]-$O$3)/$O$3)*$Q$6,2))))</f>
        <v>398.07</v>
      </c>
      <c r="S50">
        <v>31</v>
      </c>
      <c r="T50">
        <v>80</v>
      </c>
      <c r="U50" t="s">
        <v>487</v>
      </c>
      <c r="V50" t="s">
        <v>547</v>
      </c>
      <c r="W50" t="s">
        <v>747</v>
      </c>
      <c r="X50">
        <v>2011</v>
      </c>
      <c r="Y50" s="1">
        <v>7.7291666666666665E-4</v>
      </c>
      <c r="Z50" s="1"/>
      <c r="AA50" s="1"/>
      <c r="AC50">
        <v>88900</v>
      </c>
      <c r="AD50" s="2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7.7291666666666665E-4</v>
      </c>
      <c r="AE50" s="3">
        <f>IF(Table122110193494[[#This Row],[run 1 times]]="",999.99,IF(Table122110193494[[#This Row],[run 1 times]]=$AG$3,0,MAX(0,ROUND(((Table122110193494[[#This Row],[run 1 times]]-$AG$3)/$AG$3)*$AI$6,2))))</f>
        <v>374.64</v>
      </c>
    </row>
    <row r="51" spans="1:31" x14ac:dyDescent="0.3">
      <c r="A51">
        <v>13</v>
      </c>
      <c r="B51">
        <v>69</v>
      </c>
      <c r="C51" t="s">
        <v>257</v>
      </c>
      <c r="D51" t="s">
        <v>522</v>
      </c>
      <c r="E51" t="s">
        <v>708</v>
      </c>
      <c r="F51">
        <v>2013</v>
      </c>
      <c r="G51" s="1">
        <v>7.9085648148148147E-4</v>
      </c>
      <c r="H51" s="1"/>
      <c r="I51" s="1"/>
      <c r="K51">
        <v>120663</v>
      </c>
      <c r="L51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7.9085648148148147E-4</v>
      </c>
      <c r="M51" s="3">
        <f>IF(Table127163191[[#This Row],[run 1 times]]="",999.99,IF(Table127163191[[#This Row],[run 1 times]]=$O$3,0,MAX(0,ROUND(((Table127163191[[#This Row],[run 1 times]]-$O$3)/$O$3)*$Q$6,2))))</f>
        <v>410.01</v>
      </c>
      <c r="S51">
        <v>32</v>
      </c>
      <c r="T51">
        <v>79</v>
      </c>
      <c r="U51" t="s">
        <v>373</v>
      </c>
      <c r="V51" t="s">
        <v>547</v>
      </c>
      <c r="W51" t="s">
        <v>753</v>
      </c>
      <c r="X51">
        <v>2011</v>
      </c>
      <c r="Y51" s="1" t="s">
        <v>510</v>
      </c>
      <c r="Z51" s="1"/>
      <c r="AA51" s="1"/>
      <c r="AC51">
        <v>112387</v>
      </c>
      <c r="AD51" s="2" t="str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E51" s="3">
        <f>IF(Table122110193494[[#This Row],[run 1 times]]="",999.99,IF(Table122110193494[[#This Row],[run 1 times]]=$AG$3,0,MAX(0,ROUND(((Table122110193494[[#This Row],[run 1 times]]-$AG$3)/$AG$3)*$AI$6,2))))</f>
        <v>999.99</v>
      </c>
    </row>
    <row r="52" spans="1:31" x14ac:dyDescent="0.3">
      <c r="A52">
        <v>16</v>
      </c>
      <c r="B52">
        <v>72</v>
      </c>
      <c r="C52" t="s">
        <v>373</v>
      </c>
      <c r="D52" t="s">
        <v>522</v>
      </c>
      <c r="E52" t="s">
        <v>683</v>
      </c>
      <c r="F52">
        <v>2013</v>
      </c>
      <c r="G52" s="1">
        <v>8.0497685185185186E-4</v>
      </c>
      <c r="H52" s="1"/>
      <c r="I52" s="1"/>
      <c r="K52">
        <v>107172</v>
      </c>
      <c r="L52" s="2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8.0497685185185186E-4</v>
      </c>
      <c r="M52" s="3">
        <f>IF(Table127163191[[#This Row],[run 1 times]]="",999.99,IF(Table127163191[[#This Row],[run 1 times]]=$O$3,0,MAX(0,ROUND(((Table127163191[[#This Row],[run 1 times]]-$O$3)/$O$3)*$Q$6,2))))</f>
        <v>438.58</v>
      </c>
      <c r="S52">
        <v>11</v>
      </c>
      <c r="T52">
        <v>101</v>
      </c>
      <c r="U52" t="s">
        <v>479</v>
      </c>
      <c r="V52" t="s">
        <v>547</v>
      </c>
      <c r="W52" t="s">
        <v>768</v>
      </c>
      <c r="X52">
        <v>2011</v>
      </c>
      <c r="Y52" s="1" t="s">
        <v>510</v>
      </c>
      <c r="Z52" s="1"/>
      <c r="AA52" s="1"/>
      <c r="AC52">
        <v>89891</v>
      </c>
      <c r="AD52" s="2" t="str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E52" s="3">
        <f>IF(Table122110193494[[#This Row],[run 1 times]]="",999.99,IF(Table122110193494[[#This Row],[run 1 times]]=$AG$3,0,MAX(0,ROUND(((Table122110193494[[#This Row],[run 1 times]]-$AG$3)/$AG$3)*$AI$6,2))))</f>
        <v>999.99</v>
      </c>
    </row>
    <row r="53" spans="1:31" x14ac:dyDescent="0.3">
      <c r="A53">
        <v>20</v>
      </c>
      <c r="B53">
        <v>76</v>
      </c>
      <c r="C53" t="s">
        <v>479</v>
      </c>
      <c r="D53" t="s">
        <v>522</v>
      </c>
      <c r="E53" t="s">
        <v>670</v>
      </c>
      <c r="F53">
        <v>2012</v>
      </c>
      <c r="G53" s="1" t="s">
        <v>512</v>
      </c>
      <c r="H53" s="1"/>
      <c r="I53" s="1"/>
      <c r="K53">
        <v>101431</v>
      </c>
      <c r="L53" s="2" t="str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53" s="3">
        <f>IF(Table127163191[[#This Row],[run 1 times]]="",999.99,IF(Table127163191[[#This Row],[run 1 times]]=$O$3,0,MAX(0,ROUND(((Table127163191[[#This Row],[run 1 times]]-$O$3)/$O$3)*$Q$6,2))))</f>
        <v>999.99</v>
      </c>
      <c r="S53">
        <v>25</v>
      </c>
      <c r="T53">
        <v>87</v>
      </c>
      <c r="U53" t="s">
        <v>24</v>
      </c>
      <c r="V53" t="s">
        <v>572</v>
      </c>
      <c r="W53" t="s">
        <v>749</v>
      </c>
      <c r="X53">
        <v>2009</v>
      </c>
      <c r="Y53" s="1" t="s">
        <v>512</v>
      </c>
      <c r="Z53" s="1"/>
      <c r="AA53" s="1"/>
      <c r="AC53">
        <v>104657</v>
      </c>
      <c r="AD53" s="2" t="str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E53" s="3">
        <f>IF(Table122110193494[[#This Row],[run 1 times]]="",999.99,IF(Table122110193494[[#This Row],[run 1 times]]=$AG$3,0,MAX(0,ROUND(((Table122110193494[[#This Row],[run 1 times]]-$AG$3)/$AG$3)*$AI$6,2))))</f>
        <v>999.99</v>
      </c>
    </row>
    <row r="54" spans="1:31" x14ac:dyDescent="0.3">
      <c r="A54">
        <v>19</v>
      </c>
      <c r="B54">
        <v>75</v>
      </c>
      <c r="C54" t="s">
        <v>479</v>
      </c>
      <c r="D54" t="s">
        <v>522</v>
      </c>
      <c r="E54" t="s">
        <v>668</v>
      </c>
      <c r="F54">
        <v>2013</v>
      </c>
      <c r="G54" s="1" t="s">
        <v>512</v>
      </c>
      <c r="H54" s="1"/>
      <c r="I54" s="1"/>
      <c r="K54">
        <v>101440</v>
      </c>
      <c r="L54" s="2" t="str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54" s="3">
        <f>IF(Table127163191[[#This Row],[run 1 times]]="",999.99,IF(Table127163191[[#This Row],[run 1 times]]=$O$3,0,MAX(0,ROUND(((Table127163191[[#This Row],[run 1 times]]-$O$3)/$O$3)*$Q$6,2))))</f>
        <v>999.99</v>
      </c>
      <c r="S54">
        <v>16</v>
      </c>
      <c r="T54">
        <v>96</v>
      </c>
      <c r="U54" t="s">
        <v>838</v>
      </c>
      <c r="V54" t="s">
        <v>547</v>
      </c>
      <c r="W54" t="s">
        <v>849</v>
      </c>
      <c r="X54">
        <v>2010</v>
      </c>
      <c r="Y54" s="1" t="s">
        <v>512</v>
      </c>
      <c r="Z54" s="1"/>
      <c r="AA54" s="1"/>
      <c r="AC54">
        <v>122038</v>
      </c>
      <c r="AD54" s="2" t="str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E54" s="3">
        <f>IF(Table122110193494[[#This Row],[run 1 times]]="",999.99,IF(Table122110193494[[#This Row],[run 1 times]]=$AG$3,0,MAX(0,ROUND(((Table122110193494[[#This Row],[run 1 times]]-$AG$3)/$AG$3)*$AI$6,2))))</f>
        <v>999.99</v>
      </c>
    </row>
    <row r="55" spans="1:31" x14ac:dyDescent="0.3">
      <c r="A55">
        <v>17</v>
      </c>
      <c r="B55">
        <v>73</v>
      </c>
      <c r="C55" t="s">
        <v>479</v>
      </c>
      <c r="D55" t="s">
        <v>522</v>
      </c>
      <c r="E55" t="s">
        <v>702</v>
      </c>
      <c r="F55">
        <v>2013</v>
      </c>
      <c r="G55" s="1" t="s">
        <v>512</v>
      </c>
      <c r="H55" s="1"/>
      <c r="I55" s="1"/>
      <c r="K55">
        <v>101422</v>
      </c>
      <c r="L55" s="2" t="str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55" s="3">
        <f>IF(Table127163191[[#This Row],[run 1 times]]="",999.99,IF(Table127163191[[#This Row],[run 1 times]]=$O$3,0,MAX(0,ROUND(((Table127163191[[#This Row],[run 1 times]]-$O$3)/$O$3)*$Q$6,2))))</f>
        <v>999.99</v>
      </c>
      <c r="S55">
        <v>7</v>
      </c>
      <c r="T55">
        <v>105</v>
      </c>
      <c r="U55" t="s">
        <v>487</v>
      </c>
      <c r="V55" t="s">
        <v>547</v>
      </c>
      <c r="W55" t="s">
        <v>841</v>
      </c>
      <c r="X55">
        <v>2010</v>
      </c>
      <c r="Y55" s="1" t="s">
        <v>512</v>
      </c>
      <c r="Z55" s="1"/>
      <c r="AA55" s="1"/>
      <c r="AC55">
        <v>93779</v>
      </c>
      <c r="AD55" s="2" t="str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E55" s="3">
        <f>IF(Table122110193494[[#This Row],[run 1 times]]="",999.99,IF(Table122110193494[[#This Row],[run 1 times]]=$AG$3,0,MAX(0,ROUND(((Table122110193494[[#This Row],[run 1 times]]-$AG$3)/$AG$3)*$AI$6,2))))</f>
        <v>999.99</v>
      </c>
    </row>
    <row r="56" spans="1:31" x14ac:dyDescent="0.3">
      <c r="A56">
        <v>7</v>
      </c>
      <c r="B56">
        <v>62</v>
      </c>
      <c r="C56" t="s">
        <v>487</v>
      </c>
      <c r="D56" t="s">
        <v>522</v>
      </c>
      <c r="E56" t="s">
        <v>714</v>
      </c>
      <c r="F56">
        <v>2013</v>
      </c>
      <c r="G56" s="1" t="s">
        <v>518</v>
      </c>
      <c r="H56" s="1"/>
      <c r="I56" s="1"/>
      <c r="K56">
        <v>109533</v>
      </c>
      <c r="L56" s="2" t="str">
        <f>_xlfn.LET(_xlpm.x,Table127163191[[#This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56" s="3">
        <f>IF(Table127163191[[#This Row],[run 1 times]]="",999.99,IF(Table127163191[[#This Row],[run 1 times]]=$O$3,0,MAX(0,ROUND(((Table127163191[[#This Row],[run 1 times]]-$O$3)/$O$3)*$Q$6,2))))</f>
        <v>999.99</v>
      </c>
      <c r="S56">
        <v>6</v>
      </c>
      <c r="T56">
        <v>106</v>
      </c>
      <c r="U56" t="s">
        <v>487</v>
      </c>
      <c r="V56" t="s">
        <v>572</v>
      </c>
      <c r="W56" t="s">
        <v>842</v>
      </c>
      <c r="X56">
        <v>2009</v>
      </c>
      <c r="Y56" s="1" t="s">
        <v>512</v>
      </c>
      <c r="Z56" s="1"/>
      <c r="AA56" s="1"/>
      <c r="AC56">
        <v>88392</v>
      </c>
      <c r="AD56" s="2" t="str">
        <f>_xlfn.LET(_xlpm.x,Table122110193494[[#This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E56" s="3">
        <f>IF(Table122110193494[[#This Row],[run 1 times]]="",999.99,IF(Table122110193494[[#This Row],[run 1 times]]=$AG$3,0,MAX(0,ROUND(((Table122110193494[[#This Row],[run 1 times]]-$AG$3)/$AG$3)*$AI$6,2))))</f>
        <v>999.99</v>
      </c>
    </row>
  </sheetData>
  <mergeCells count="2">
    <mergeCell ref="A1:Q1"/>
    <mergeCell ref="S1:AI1"/>
  </mergeCells>
  <pageMargins left="0.7" right="0.7" top="0.75" bottom="0.75" header="0.3" footer="0.3"/>
  <tableParts count="6">
    <tablePart r:id="rId1"/>
    <tablePart r:id="rId2"/>
    <tablePart r:id="rId3"/>
    <tablePart r:id="rId4"/>
    <tablePart r:id="rId5"/>
    <tablePart r:id="rId6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8EB5EA-D0B9-41C7-9541-EA4EAE4312B6}">
  <dimension ref="A1:AQ54"/>
  <sheetViews>
    <sheetView workbookViewId="0">
      <selection activeCell="G13" sqref="G13"/>
    </sheetView>
  </sheetViews>
  <sheetFormatPr defaultRowHeight="14.4" x14ac:dyDescent="0.3"/>
  <cols>
    <col min="1" max="1" width="13.5546875" customWidth="1"/>
    <col min="3" max="3" width="12.109375" customWidth="1"/>
    <col min="5" max="5" width="14.88671875" bestFit="1" customWidth="1"/>
    <col min="6" max="6" width="12.5546875" customWidth="1"/>
    <col min="7" max="7" width="15.21875" customWidth="1"/>
    <col min="8" max="8" width="17.6640625" customWidth="1"/>
    <col min="9" max="9" width="16.44140625" customWidth="1"/>
    <col min="10" max="10" width="12.21875" customWidth="1"/>
    <col min="11" max="11" width="13.109375" customWidth="1"/>
    <col min="12" max="12" width="11.6640625" customWidth="1"/>
    <col min="13" max="13" width="12.109375" customWidth="1"/>
    <col min="14" max="14" width="11.33203125" customWidth="1"/>
    <col min="15" max="15" width="12.109375" customWidth="1"/>
    <col min="16" max="16" width="10.33203125" customWidth="1"/>
    <col min="17" max="17" width="13.88671875" customWidth="1"/>
    <col min="19" max="19" width="14.5546875" customWidth="1"/>
    <col min="20" max="20" width="15.5546875" customWidth="1"/>
    <col min="21" max="21" width="18.5546875" customWidth="1"/>
  </cols>
  <sheetData>
    <row r="1" spans="1:43" ht="21" x14ac:dyDescent="0.4">
      <c r="A1" s="8" t="s">
        <v>596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W1" s="8" t="s">
        <v>595</v>
      </c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</row>
    <row r="2" spans="1:43" x14ac:dyDescent="0.3">
      <c r="A2" t="s">
        <v>459</v>
      </c>
      <c r="B2" t="s">
        <v>460</v>
      </c>
      <c r="C2" t="s">
        <v>461</v>
      </c>
      <c r="D2" t="s">
        <v>462</v>
      </c>
      <c r="E2" t="s">
        <v>463</v>
      </c>
      <c r="F2" t="s">
        <v>464</v>
      </c>
      <c r="G2" t="s">
        <v>465</v>
      </c>
      <c r="H2" t="s">
        <v>466</v>
      </c>
      <c r="I2" t="s">
        <v>467</v>
      </c>
      <c r="J2" t="s">
        <v>468</v>
      </c>
      <c r="K2" t="s">
        <v>469</v>
      </c>
      <c r="L2" t="s">
        <v>470</v>
      </c>
      <c r="M2" t="s">
        <v>471</v>
      </c>
      <c r="N2" t="s">
        <v>472</v>
      </c>
      <c r="O2" t="s">
        <v>473</v>
      </c>
      <c r="P2" t="s">
        <v>474</v>
      </c>
      <c r="Q2" t="s">
        <v>475</v>
      </c>
      <c r="S2" t="s">
        <v>476</v>
      </c>
      <c r="T2" t="s">
        <v>477</v>
      </c>
      <c r="U2" t="s">
        <v>478</v>
      </c>
      <c r="W2" t="s">
        <v>459</v>
      </c>
      <c r="X2" t="s">
        <v>460</v>
      </c>
      <c r="Y2" t="s">
        <v>461</v>
      </c>
      <c r="Z2" t="s">
        <v>462</v>
      </c>
      <c r="AA2" t="s">
        <v>463</v>
      </c>
      <c r="AB2" t="s">
        <v>464</v>
      </c>
      <c r="AC2" t="s">
        <v>465</v>
      </c>
      <c r="AD2" t="s">
        <v>466</v>
      </c>
      <c r="AE2" t="s">
        <v>467</v>
      </c>
      <c r="AF2" t="s">
        <v>468</v>
      </c>
      <c r="AG2" t="s">
        <v>469</v>
      </c>
      <c r="AH2" t="s">
        <v>470</v>
      </c>
      <c r="AI2" t="s">
        <v>471</v>
      </c>
      <c r="AJ2" t="s">
        <v>472</v>
      </c>
      <c r="AK2" t="s">
        <v>473</v>
      </c>
      <c r="AL2" t="s">
        <v>474</v>
      </c>
      <c r="AM2" t="s">
        <v>475</v>
      </c>
      <c r="AO2" t="s">
        <v>476</v>
      </c>
      <c r="AP2" t="s">
        <v>477</v>
      </c>
      <c r="AQ2" t="s">
        <v>478</v>
      </c>
    </row>
    <row r="3" spans="1:43" x14ac:dyDescent="0.3">
      <c r="A3">
        <v>20</v>
      </c>
      <c r="B3">
        <v>20</v>
      </c>
      <c r="C3" t="s">
        <v>257</v>
      </c>
      <c r="D3" t="s">
        <v>480</v>
      </c>
      <c r="E3" t="s">
        <v>493</v>
      </c>
      <c r="F3">
        <v>2014</v>
      </c>
      <c r="G3" s="5">
        <v>1.2244212962962962E-3</v>
      </c>
      <c r="H3" t="s">
        <v>518</v>
      </c>
      <c r="K3">
        <v>120668</v>
      </c>
      <c r="L3" s="2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1.2244212962962962E-3</v>
      </c>
      <c r="M3" s="3">
        <f>IF(Table127163143556797103[[#This Row],[run 1 times]]="",999.99,IF(Table127163143556797103[[#This Row],[run 1 times]]=$S$3,0,MAX(0,ROUND(((Table127163143556797103[[#This Row],[run 1 times]]-$S$3)/$S$3)*$T$6,2))))</f>
        <v>359.67</v>
      </c>
      <c r="N3" s="2" t="str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3" s="3">
        <f>IF(Table127163143556797103[[#This Row],[run2 times]]="",999.99,IF(Table127163143556797103[[#This Row],[run2 times]]=$T$3,0,MAX(0,ROUND(((Table127163143556797103[[#This Row],[run2 times]]-$T$3)/$T$3)*$T$6,2))))</f>
        <v>999.99</v>
      </c>
      <c r="P3" s="2" t="str">
        <f>IF(OR(Table127163143556797103[[#This Row],[run 1 times]]="",Table127163143556797103[[#This Row],[run2 times]]=""),"",Table127163143556797103[[#This Row],[run 1 times]]+Table127163143556797103[[#This Row],[run2 times]])</f>
        <v/>
      </c>
      <c r="Q3" s="3">
        <f>IF(Table127163143556797103[[#This Row],[total time]]="",999.99,IF(Table127163143556797103[[#This Row],[total time]]=$U$3,0,MAX(0,ROUND(((Table127163143556797103[[#This Row],[total time]]-$U$3)/$U$3)*$T$6,2))))</f>
        <v>999.99</v>
      </c>
      <c r="S3" s="1">
        <f>MIN(Table127163143556797103[run 1 times])</f>
        <v>9.0289351851851858E-4</v>
      </c>
      <c r="T3" s="1">
        <f>MIN(Table127163143556797103[run2 times])</f>
        <v>8.2129629629629642E-4</v>
      </c>
      <c r="U3" s="1">
        <f>MIN(Table127163143556797103[total time])</f>
        <v>1.7825231481481481E-3</v>
      </c>
      <c r="W3">
        <v>2</v>
      </c>
      <c r="X3">
        <v>107</v>
      </c>
      <c r="Y3" t="s">
        <v>24</v>
      </c>
      <c r="Z3" t="s">
        <v>547</v>
      </c>
      <c r="AA3" t="s">
        <v>565</v>
      </c>
      <c r="AB3">
        <v>2011</v>
      </c>
      <c r="AC3" s="1" t="s">
        <v>512</v>
      </c>
      <c r="AD3" s="1">
        <v>6.9849537037037037E-4</v>
      </c>
      <c r="AE3" s="1"/>
      <c r="AG3">
        <v>89752</v>
      </c>
      <c r="AH3" s="2" t="str">
        <f>_xlfn.LET(_xlpm.x,Table1221101934465870100106[[#This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3" s="3">
        <f>IF(Table1221101934465870100106[[#This Row],[run 1 times]]="",999.99,IF(Table1221101934465870100106[[#This Row],[run 1 times]]=$AO$3,0,MAX(0,ROUND(((Table1221101934465870100106[[#This Row],[run 1 times]]-$AO$3)/$AO$3)*$AO$6,2))))</f>
        <v>999.99</v>
      </c>
      <c r="AJ3" s="2">
        <f>_xlfn.LET(_xlpm.x,Table1221101934465870100106[[#This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6.9849537037037037E-4</v>
      </c>
      <c r="AK3" s="3">
        <f>IF(Table1221101934465870100106[[#This Row],[run2 times]]="",999.99,IF(Table1221101934465870100106[[#This Row],[run2 times]]=$AP$3,0,MAX(0,ROUND(((Table1221101934465870100106[[#This Row],[run2 times]]-$AP$3)/$AP$3)*$AO$6,2))))</f>
        <v>40.47</v>
      </c>
      <c r="AL3" s="2" t="str">
        <f>IF(OR(Table1221101934465870100106[[#This Row],[run 1 times]]="",Table1221101934465870100106[[#This Row],[run2 times]]=""),"",Table1221101934465870100106[[#This Row],[run 1 times]]+Table1221101934465870100106[[#This Row],[run2 times]])</f>
        <v/>
      </c>
      <c r="AM3" s="3">
        <f>IF(Table1221101934465870100106[[#This Row],[total time]]="",999.99,IF(Table1221101934465870100106[[#This Row],[total time]]=$AQ$3,0,MAX(0,ROUND(((Table1221101934465870100106[[#This Row],[total time]]-$AQ$3)/$AQ$3)*$AO$6,2))))</f>
        <v>999.99</v>
      </c>
      <c r="AO3" s="1">
        <f>MIN(Table1221101934465870100106[run 1 times])</f>
        <v>6.1747685185185191E-4</v>
      </c>
      <c r="AP3" s="1">
        <f>MIN(Table1221101934465870100106[run2 times])</f>
        <v>6.6180555555555556E-4</v>
      </c>
      <c r="AQ3" s="1">
        <f>MIN(Table1221101934465870100106[total time])</f>
        <v>1.2792824074074074E-3</v>
      </c>
    </row>
    <row r="4" spans="1:43" x14ac:dyDescent="0.3">
      <c r="A4">
        <v>40</v>
      </c>
      <c r="B4">
        <v>42</v>
      </c>
      <c r="C4" t="s">
        <v>257</v>
      </c>
      <c r="D4" t="s">
        <v>480</v>
      </c>
      <c r="E4" t="s">
        <v>495</v>
      </c>
      <c r="F4">
        <v>2014</v>
      </c>
      <c r="G4" s="5">
        <v>1.1648148148148149E-3</v>
      </c>
      <c r="H4" t="s">
        <v>518</v>
      </c>
      <c r="K4">
        <v>120662</v>
      </c>
      <c r="L4" s="2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1.1648148148148149E-3</v>
      </c>
      <c r="M4" s="3">
        <f>IF(Table127163143556797103[[#This Row],[run 1 times]]="",999.99,IF(Table127163143556797103[[#This Row],[run 1 times]]=$S$3,0,MAX(0,ROUND(((Table127163143556797103[[#This Row],[run 1 times]]-$S$3)/$S$3)*$T$6,2))))</f>
        <v>292.99</v>
      </c>
      <c r="N4" s="2" t="str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4" s="3">
        <f>IF(Table127163143556797103[[#This Row],[run2 times]]="",999.99,IF(Table127163143556797103[[#This Row],[run2 times]]=$T$3,0,MAX(0,ROUND(((Table127163143556797103[[#This Row],[run2 times]]-$T$3)/$T$3)*$T$6,2))))</f>
        <v>999.99</v>
      </c>
      <c r="P4" s="2" t="str">
        <f>IF(OR(Table127163143556797103[[#This Row],[run 1 times]]="",Table127163143556797103[[#This Row],[run2 times]]=""),"",Table127163143556797103[[#This Row],[run 1 times]]+Table127163143556797103[[#This Row],[run2 times]])</f>
        <v/>
      </c>
      <c r="Q4" s="3">
        <f>IF(Table127163143556797103[[#This Row],[total time]]="",999.99,IF(Table127163143556797103[[#This Row],[total time]]=$U$3,0,MAX(0,ROUND(((Table127163143556797103[[#This Row],[total time]]-$U$3)/$U$3)*$T$6,2))))</f>
        <v>999.99</v>
      </c>
      <c r="W4">
        <v>4</v>
      </c>
      <c r="X4">
        <v>109</v>
      </c>
      <c r="Y4" t="s">
        <v>826</v>
      </c>
      <c r="Z4" t="s">
        <v>547</v>
      </c>
      <c r="AA4" t="s">
        <v>828</v>
      </c>
      <c r="AB4">
        <v>2011</v>
      </c>
      <c r="AC4" s="1">
        <v>7.8726851851851853E-4</v>
      </c>
      <c r="AD4" s="1">
        <v>8.5162037037037031E-4</v>
      </c>
      <c r="AE4" s="1">
        <v>1.6388888888888887E-3</v>
      </c>
      <c r="AG4">
        <v>110582</v>
      </c>
      <c r="AH4" s="2">
        <f>_xlfn.LET(_xlpm.x,Table1221101934465870100106[[#This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7.8726851851851853E-4</v>
      </c>
      <c r="AI4" s="3">
        <f>IF(Table1221101934465870100106[[#This Row],[run 1 times]]="",999.99,IF(Table1221101934465870100106[[#This Row],[run 1 times]]=$AO$3,0,MAX(0,ROUND(((Table1221101934465870100106[[#This Row],[run 1 times]]-$AO$3)/$AO$3)*$AO$6,2))))</f>
        <v>200.73</v>
      </c>
      <c r="AJ4" s="2">
        <f>_xlfn.LET(_xlpm.x,Table1221101934465870100106[[#This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8.5162037037037031E-4</v>
      </c>
      <c r="AK4" s="3">
        <f>IF(Table1221101934465870100106[[#This Row],[run2 times]]="",999.99,IF(Table1221101934465870100106[[#This Row],[run2 times]]=$AP$3,0,MAX(0,ROUND(((Table1221101934465870100106[[#This Row],[run2 times]]-$AP$3)/$AP$3)*$AO$6,2))))</f>
        <v>209.37</v>
      </c>
      <c r="AL4" s="2">
        <f>IF(OR(Table1221101934465870100106[[#This Row],[run 1 times]]="",Table1221101934465870100106[[#This Row],[run2 times]]=""),"",Table1221101934465870100106[[#This Row],[run 1 times]]+Table1221101934465870100106[[#This Row],[run2 times]])</f>
        <v>1.6388888888888889E-3</v>
      </c>
      <c r="AM4" s="3">
        <f>IF(Table1221101934465870100106[[#This Row],[total time]]="",999.99,IF(Table1221101934465870100106[[#This Row],[total time]]=$AQ$3,0,MAX(0,ROUND(((Table1221101934465870100106[[#This Row],[total time]]-$AQ$3)/$AQ$3)*$AO$6,2))))</f>
        <v>205.2</v>
      </c>
    </row>
    <row r="5" spans="1:43" x14ac:dyDescent="0.3">
      <c r="A5">
        <v>1</v>
      </c>
      <c r="B5">
        <v>1</v>
      </c>
      <c r="C5" t="s">
        <v>373</v>
      </c>
      <c r="D5" t="s">
        <v>480</v>
      </c>
      <c r="E5" t="s">
        <v>503</v>
      </c>
      <c r="F5">
        <v>2014</v>
      </c>
      <c r="G5" s="5">
        <v>1.1923611111111113E-3</v>
      </c>
      <c r="H5" t="s">
        <v>518</v>
      </c>
      <c r="K5">
        <v>112386</v>
      </c>
      <c r="L5" s="2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1.1923611111111113E-3</v>
      </c>
      <c r="M5" s="3">
        <f>IF(Table127163143556797103[[#This Row],[run 1 times]]="",999.99,IF(Table127163143556797103[[#This Row],[run 1 times]]=$S$3,0,MAX(0,ROUND(((Table127163143556797103[[#This Row],[run 1 times]]-$S$3)/$S$3)*$T$6,2))))</f>
        <v>323.81</v>
      </c>
      <c r="N5" s="2" t="str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5" s="3">
        <f>IF(Table127163143556797103[[#This Row],[run2 times]]="",999.99,IF(Table127163143556797103[[#This Row],[run2 times]]=$T$3,0,MAX(0,ROUND(((Table127163143556797103[[#This Row],[run2 times]]-$T$3)/$T$3)*$T$6,2))))</f>
        <v>999.99</v>
      </c>
      <c r="P5" s="2" t="str">
        <f>IF(OR(Table127163143556797103[[#This Row],[run 1 times]]="",Table127163143556797103[[#This Row],[run2 times]]=""),"",Table127163143556797103[[#This Row],[run 1 times]]+Table127163143556797103[[#This Row],[run2 times]])</f>
        <v/>
      </c>
      <c r="Q5" s="3">
        <f>IF(Table127163143556797103[[#This Row],[total time]]="",999.99,IF(Table127163143556797103[[#This Row],[total time]]=$U$3,0,MAX(0,ROUND(((Table127163143556797103[[#This Row],[total time]]-$U$3)/$U$3)*$T$6,2))))</f>
        <v>999.99</v>
      </c>
      <c r="S5" t="s">
        <v>484</v>
      </c>
      <c r="T5" t="s">
        <v>485</v>
      </c>
      <c r="U5" t="s">
        <v>486</v>
      </c>
      <c r="W5">
        <v>6</v>
      </c>
      <c r="X5">
        <v>111</v>
      </c>
      <c r="Y5" t="s">
        <v>24</v>
      </c>
      <c r="Z5" t="s">
        <v>547</v>
      </c>
      <c r="AA5" t="s">
        <v>568</v>
      </c>
      <c r="AB5">
        <v>2010</v>
      </c>
      <c r="AC5" s="1">
        <v>59.36</v>
      </c>
      <c r="AD5" s="1">
        <v>7.2094907407407405E-4</v>
      </c>
      <c r="AE5" s="1">
        <v>1.4079861111111112E-3</v>
      </c>
      <c r="AG5">
        <v>104647</v>
      </c>
      <c r="AH5" s="2">
        <f>_xlfn.LET(_xlpm.x,Table1221101934465870100106[[#This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6.87037037037037E-4</v>
      </c>
      <c r="AI5" s="3">
        <f>IF(Table1221101934465870100106[[#This Row],[run 1 times]]="",999.99,IF(Table1221101934465870100106[[#This Row],[run 1 times]]=$AO$3,0,MAX(0,ROUND(((Table1221101934465870100106[[#This Row],[run 1 times]]-$AO$3)/$AO$3)*$AO$6,2))))</f>
        <v>82.24</v>
      </c>
      <c r="AJ5" s="2">
        <f>_xlfn.LET(_xlpm.x,Table1221101934465870100106[[#This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7.2094907407407405E-4</v>
      </c>
      <c r="AK5" s="3">
        <f>IF(Table1221101934465870100106[[#This Row],[run2 times]]="",999.99,IF(Table1221101934465870100106[[#This Row],[run2 times]]=$AP$3,0,MAX(0,ROUND(((Table1221101934465870100106[[#This Row],[run2 times]]-$AP$3)/$AP$3)*$AO$6,2))))</f>
        <v>65.239999999999995</v>
      </c>
      <c r="AL5" s="2">
        <f>IF(OR(Table1221101934465870100106[[#This Row],[run 1 times]]="",Table1221101934465870100106[[#This Row],[run2 times]]=""),"",Table1221101934465870100106[[#This Row],[run 1 times]]+Table1221101934465870100106[[#This Row],[run2 times]])</f>
        <v>1.4079861111111112E-3</v>
      </c>
      <c r="AM5" s="3">
        <f>IF(Table1221101934465870100106[[#This Row],[total time]]="",999.99,IF(Table1221101934465870100106[[#This Row],[total time]]=$AQ$3,0,MAX(0,ROUND(((Table1221101934465870100106[[#This Row],[total time]]-$AQ$3)/$AQ$3)*$AO$6,2))))</f>
        <v>73.44</v>
      </c>
      <c r="AO5" t="s">
        <v>484</v>
      </c>
      <c r="AP5" t="s">
        <v>485</v>
      </c>
      <c r="AQ5" t="s">
        <v>486</v>
      </c>
    </row>
    <row r="6" spans="1:43" x14ac:dyDescent="0.3">
      <c r="A6">
        <v>4</v>
      </c>
      <c r="B6">
        <v>4</v>
      </c>
      <c r="C6" t="s">
        <v>479</v>
      </c>
      <c r="D6" t="s">
        <v>522</v>
      </c>
      <c r="E6" t="s">
        <v>540</v>
      </c>
      <c r="F6">
        <v>2013</v>
      </c>
      <c r="G6" s="5">
        <v>9.2407407407407412E-4</v>
      </c>
      <c r="H6" s="5">
        <v>8.9386574074074075E-4</v>
      </c>
      <c r="I6" s="5">
        <v>1.8179398148148148E-3</v>
      </c>
      <c r="K6">
        <v>101429</v>
      </c>
      <c r="L6" s="2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9.2407407407407412E-4</v>
      </c>
      <c r="M6" s="3">
        <f>IF(Table127163143556797103[[#This Row],[run 1 times]]="",999.99,IF(Table127163143556797103[[#This Row],[run 1 times]]=$S$3,0,MAX(0,ROUND(((Table127163143556797103[[#This Row],[run 1 times]]-$S$3)/$S$3)*$T$6,2))))</f>
        <v>23.69</v>
      </c>
      <c r="N6" s="2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8.9386574074074075E-4</v>
      </c>
      <c r="O6" s="3">
        <f>IF(Table127163143556797103[[#This Row],[run2 times]]="",999.99,IF(Table127163143556797103[[#This Row],[run2 times]]=$T$3,0,MAX(0,ROUND(((Table127163143556797103[[#This Row],[run2 times]]-$T$3)/$T$3)*$T$6,2))))</f>
        <v>89.24</v>
      </c>
      <c r="P6" s="2">
        <f>IF(OR(Table127163143556797103[[#This Row],[run 1 times]]="",Table127163143556797103[[#This Row],[run2 times]]=""),"",Table127163143556797103[[#This Row],[run 1 times]]+Table127163143556797103[[#This Row],[run2 times]])</f>
        <v>1.8179398148148148E-3</v>
      </c>
      <c r="Q6" s="3">
        <f>IF(Table127163143556797103[[#This Row],[total time]]="",999.99,IF(Table127163143556797103[[#This Row],[total time]]=$U$3,0,MAX(0,ROUND(((Table127163143556797103[[#This Row],[total time]]-$U$3)/$U$3)*$T$6,2))))</f>
        <v>20.07</v>
      </c>
      <c r="S6">
        <v>730</v>
      </c>
      <c r="T6">
        <v>1010</v>
      </c>
      <c r="U6">
        <v>1190</v>
      </c>
      <c r="W6">
        <v>7</v>
      </c>
      <c r="X6">
        <v>112</v>
      </c>
      <c r="Y6" t="s">
        <v>487</v>
      </c>
      <c r="Z6" t="s">
        <v>572</v>
      </c>
      <c r="AA6" t="s">
        <v>829</v>
      </c>
      <c r="AB6">
        <v>2009</v>
      </c>
      <c r="AC6" s="1">
        <v>7.104166666666667E-4</v>
      </c>
      <c r="AD6" s="1">
        <v>7.4814814814814817E-4</v>
      </c>
      <c r="AE6" s="1">
        <v>1.4585648148148147E-3</v>
      </c>
      <c r="AG6">
        <v>107084</v>
      </c>
      <c r="AH6" s="2">
        <f>_xlfn.LET(_xlpm.x,Table1221101934465870100106[[#This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7.104166666666667E-4</v>
      </c>
      <c r="AI6" s="3">
        <f>IF(Table1221101934465870100106[[#This Row],[run 1 times]]="",999.99,IF(Table1221101934465870100106[[#This Row],[run 1 times]]=$AO$3,0,MAX(0,ROUND(((Table1221101934465870100106[[#This Row],[run 1 times]]-$AO$3)/$AO$3)*$AO$6,2))))</f>
        <v>109.88</v>
      </c>
      <c r="AJ6" s="2">
        <f>_xlfn.LET(_xlpm.x,Table1221101934465870100106[[#This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7.4814814814814817E-4</v>
      </c>
      <c r="AK6" s="3">
        <f>IF(Table1221101934465870100106[[#This Row],[run2 times]]="",999.99,IF(Table1221101934465870100106[[#This Row],[run2 times]]=$AP$3,0,MAX(0,ROUND(((Table1221101934465870100106[[#This Row],[run2 times]]-$AP$3)/$AP$3)*$AO$6,2))))</f>
        <v>95.24</v>
      </c>
      <c r="AL6" s="2">
        <f>IF(OR(Table1221101934465870100106[[#This Row],[run 1 times]]="",Table1221101934465870100106[[#This Row],[run2 times]]=""),"",Table1221101934465870100106[[#This Row],[run 1 times]]+Table1221101934465870100106[[#This Row],[run2 times]])</f>
        <v>1.4585648148148149E-3</v>
      </c>
      <c r="AM6" s="3">
        <f>IF(Table1221101934465870100106[[#This Row],[total time]]="",999.99,IF(Table1221101934465870100106[[#This Row],[total time]]=$AQ$3,0,MAX(0,ROUND(((Table1221101934465870100106[[#This Row],[total time]]-$AQ$3)/$AQ$3)*$AO$6,2))))</f>
        <v>102.3</v>
      </c>
      <c r="AO6">
        <v>730</v>
      </c>
      <c r="AP6">
        <v>1010</v>
      </c>
      <c r="AQ6">
        <v>1190</v>
      </c>
    </row>
    <row r="7" spans="1:43" x14ac:dyDescent="0.3">
      <c r="A7">
        <v>5</v>
      </c>
      <c r="B7">
        <v>5</v>
      </c>
      <c r="C7" t="s">
        <v>479</v>
      </c>
      <c r="D7" t="s">
        <v>522</v>
      </c>
      <c r="E7" t="s">
        <v>854</v>
      </c>
      <c r="F7">
        <v>2012</v>
      </c>
      <c r="G7" s="5">
        <v>9.0671296296296301E-4</v>
      </c>
      <c r="H7" s="5">
        <v>8.758101851851852E-4</v>
      </c>
      <c r="I7" s="5">
        <v>1.7825231481481481E-3</v>
      </c>
      <c r="K7">
        <v>101423</v>
      </c>
      <c r="L7" s="2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9.0671296296296301E-4</v>
      </c>
      <c r="M7" s="3">
        <f>IF(Table127163143556797103[[#This Row],[run 1 times]]="",999.99,IF(Table127163143556797103[[#This Row],[run 1 times]]=$S$3,0,MAX(0,ROUND(((Table127163143556797103[[#This Row],[run 1 times]]-$S$3)/$S$3)*$T$6,2))))</f>
        <v>4.2699999999999996</v>
      </c>
      <c r="N7" s="2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8.758101851851852E-4</v>
      </c>
      <c r="O7" s="3">
        <f>IF(Table127163143556797103[[#This Row],[run2 times]]="",999.99,IF(Table127163143556797103[[#This Row],[run2 times]]=$T$3,0,MAX(0,ROUND(((Table127163143556797103[[#This Row],[run2 times]]-$T$3)/$T$3)*$T$6,2))))</f>
        <v>67.040000000000006</v>
      </c>
      <c r="P7" s="2">
        <f>IF(OR(Table127163143556797103[[#This Row],[run 1 times]]="",Table127163143556797103[[#This Row],[run2 times]]=""),"",Table127163143556797103[[#This Row],[run 1 times]]+Table127163143556797103[[#This Row],[run2 times]])</f>
        <v>1.7825231481481481E-3</v>
      </c>
      <c r="Q7" s="3">
        <f>IF(Table127163143556797103[[#This Row],[total time]]="",999.99,IF(Table127163143556797103[[#This Row],[total time]]=$U$3,0,MAX(0,ROUND(((Table127163143556797103[[#This Row],[total time]]-$U$3)/$U$3)*$T$6,2))))</f>
        <v>0</v>
      </c>
      <c r="W7">
        <v>8</v>
      </c>
      <c r="X7">
        <v>113</v>
      </c>
      <c r="Y7" t="s">
        <v>479</v>
      </c>
      <c r="Z7" t="s">
        <v>547</v>
      </c>
      <c r="AA7" t="s">
        <v>830</v>
      </c>
      <c r="AB7">
        <v>2010</v>
      </c>
      <c r="AC7" s="1" t="s">
        <v>512</v>
      </c>
      <c r="AD7" s="1">
        <v>7.993055555555556E-4</v>
      </c>
      <c r="AE7" s="1"/>
      <c r="AG7">
        <v>89871</v>
      </c>
      <c r="AH7" s="2" t="str">
        <f>_xlfn.LET(_xlpm.x,Table1221101934465870100106[[#This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7" s="3">
        <f>IF(Table1221101934465870100106[[#This Row],[run 1 times]]="",999.99,IF(Table1221101934465870100106[[#This Row],[run 1 times]]=$AO$3,0,MAX(0,ROUND(((Table1221101934465870100106[[#This Row],[run 1 times]]-$AO$3)/$AO$3)*$AO$6,2))))</f>
        <v>999.99</v>
      </c>
      <c r="AJ7" s="2">
        <f>_xlfn.LET(_xlpm.x,Table1221101934465870100106[[#This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7.993055555555556E-4</v>
      </c>
      <c r="AK7" s="3">
        <f>IF(Table1221101934465870100106[[#This Row],[run2 times]]="",999.99,IF(Table1221101934465870100106[[#This Row],[run2 times]]=$AP$3,0,MAX(0,ROUND(((Table1221101934465870100106[[#This Row],[run2 times]]-$AP$3)/$AP$3)*$AO$6,2))))</f>
        <v>151.66999999999999</v>
      </c>
      <c r="AL7" s="2" t="str">
        <f>IF(OR(Table1221101934465870100106[[#This Row],[run 1 times]]="",Table1221101934465870100106[[#This Row],[run2 times]]=""),"",Table1221101934465870100106[[#This Row],[run 1 times]]+Table1221101934465870100106[[#This Row],[run2 times]])</f>
        <v/>
      </c>
      <c r="AM7" s="3">
        <f>IF(Table1221101934465870100106[[#This Row],[total time]]="",999.99,IF(Table1221101934465870100106[[#This Row],[total time]]=$AQ$3,0,MAX(0,ROUND(((Table1221101934465870100106[[#This Row],[total time]]-$AQ$3)/$AQ$3)*$AO$6,2))))</f>
        <v>999.99</v>
      </c>
    </row>
    <row r="8" spans="1:43" x14ac:dyDescent="0.3">
      <c r="A8">
        <v>10</v>
      </c>
      <c r="B8">
        <v>10</v>
      </c>
      <c r="C8" t="s">
        <v>24</v>
      </c>
      <c r="D8" t="s">
        <v>522</v>
      </c>
      <c r="E8" t="s">
        <v>529</v>
      </c>
      <c r="F8">
        <v>2013</v>
      </c>
      <c r="G8" s="5">
        <v>9.6134259259259263E-4</v>
      </c>
      <c r="H8" s="5">
        <v>9.3576388888888886E-4</v>
      </c>
      <c r="I8" s="5">
        <v>1.8971064814814814E-3</v>
      </c>
      <c r="K8">
        <v>93764</v>
      </c>
      <c r="L8" s="2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9.6134259259259263E-4</v>
      </c>
      <c r="M8" s="3">
        <f>IF(Table127163143556797103[[#This Row],[run 1 times]]="",999.99,IF(Table127163143556797103[[#This Row],[run 1 times]]=$S$3,0,MAX(0,ROUND(((Table127163143556797103[[#This Row],[run 1 times]]-$S$3)/$S$3)*$T$6,2))))</f>
        <v>65.38</v>
      </c>
      <c r="N8" s="2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9.3576388888888886E-4</v>
      </c>
      <c r="O8" s="3">
        <f>IF(Table127163143556797103[[#This Row],[run2 times]]="",999.99,IF(Table127163143556797103[[#This Row],[run2 times]]=$T$3,0,MAX(0,ROUND(((Table127163143556797103[[#This Row],[run2 times]]-$T$3)/$T$3)*$T$6,2))))</f>
        <v>140.77000000000001</v>
      </c>
      <c r="P8" s="2">
        <f>IF(OR(Table127163143556797103[[#This Row],[run 1 times]]="",Table127163143556797103[[#This Row],[run2 times]]=""),"",Table127163143556797103[[#This Row],[run 1 times]]+Table127163143556797103[[#This Row],[run2 times]])</f>
        <v>1.8971064814814814E-3</v>
      </c>
      <c r="Q8" s="3">
        <f>IF(Table127163143556797103[[#This Row],[total time]]="",999.99,IF(Table127163143556797103[[#This Row],[total time]]=$U$3,0,MAX(0,ROUND(((Table127163143556797103[[#This Row],[total time]]-$U$3)/$U$3)*$T$6,2))))</f>
        <v>64.92</v>
      </c>
      <c r="W8">
        <v>18</v>
      </c>
      <c r="X8">
        <v>123</v>
      </c>
      <c r="Y8" t="s">
        <v>223</v>
      </c>
      <c r="Z8" t="s">
        <v>547</v>
      </c>
      <c r="AA8" t="s">
        <v>574</v>
      </c>
      <c r="AB8">
        <v>2010</v>
      </c>
      <c r="AC8" s="1">
        <v>54.45</v>
      </c>
      <c r="AD8" s="1">
        <v>57.86</v>
      </c>
      <c r="AE8" s="1">
        <v>1.2998842592592593E-3</v>
      </c>
      <c r="AG8">
        <v>93284</v>
      </c>
      <c r="AH8" s="2">
        <f>_xlfn.LET(_xlpm.x,Table1221101934465870100106[[#This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6.3020833333333331E-4</v>
      </c>
      <c r="AI8" s="3">
        <f>IF(Table1221101934465870100106[[#This Row],[run 1 times]]="",999.99,IF(Table1221101934465870100106[[#This Row],[run 1 times]]=$AO$3,0,MAX(0,ROUND(((Table1221101934465870100106[[#This Row],[run 1 times]]-$AO$3)/$AO$3)*$AO$6,2))))</f>
        <v>15.05</v>
      </c>
      <c r="AJ8" s="2">
        <f>_xlfn.LET(_xlpm.x,Table1221101934465870100106[[#This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6.6967592592592589E-4</v>
      </c>
      <c r="AK8" s="3">
        <f>IF(Table1221101934465870100106[[#This Row],[run2 times]]="",999.99,IF(Table1221101934465870100106[[#This Row],[run2 times]]=$AP$3,0,MAX(0,ROUND(((Table1221101934465870100106[[#This Row],[run2 times]]-$AP$3)/$AP$3)*$AO$6,2))))</f>
        <v>8.68</v>
      </c>
      <c r="AL8" s="2">
        <f>IF(OR(Table1221101934465870100106[[#This Row],[run 1 times]]="",Table1221101934465870100106[[#This Row],[run2 times]]=""),"",Table1221101934465870100106[[#This Row],[run 1 times]]+Table1221101934465870100106[[#This Row],[run2 times]])</f>
        <v>1.2998842592592593E-3</v>
      </c>
      <c r="AM8" s="3">
        <f>IF(Table1221101934465870100106[[#This Row],[total time]]="",999.99,IF(Table1221101934465870100106[[#This Row],[total time]]=$AQ$3,0,MAX(0,ROUND(((Table1221101934465870100106[[#This Row],[total time]]-$AQ$3)/$AQ$3)*$AO$6,2))))</f>
        <v>11.76</v>
      </c>
    </row>
    <row r="9" spans="1:43" x14ac:dyDescent="0.3">
      <c r="A9">
        <v>24</v>
      </c>
      <c r="B9">
        <v>24</v>
      </c>
      <c r="C9" t="s">
        <v>257</v>
      </c>
      <c r="D9" t="s">
        <v>480</v>
      </c>
      <c r="E9" t="s">
        <v>861</v>
      </c>
      <c r="F9">
        <v>2014</v>
      </c>
      <c r="G9" s="5">
        <v>1.0995370370370371E-3</v>
      </c>
      <c r="H9" s="5">
        <v>1.0167824074074074E-3</v>
      </c>
      <c r="I9" s="5">
        <v>2.1163194444444445E-3</v>
      </c>
      <c r="K9">
        <v>120660</v>
      </c>
      <c r="L9" s="2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1.0995370370370371E-3</v>
      </c>
      <c r="M9" s="3">
        <f>IF(Table127163143556797103[[#This Row],[run 1 times]]="",999.99,IF(Table127163143556797103[[#This Row],[run 1 times]]=$S$3,0,MAX(0,ROUND(((Table127163143556797103[[#This Row],[run 1 times]]-$S$3)/$S$3)*$T$6,2))))</f>
        <v>219.97</v>
      </c>
      <c r="N9" s="2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1.0167824074074074E-3</v>
      </c>
      <c r="O9" s="3">
        <f>IF(Table127163143556797103[[#This Row],[run2 times]]="",999.99,IF(Table127163143556797103[[#This Row],[run2 times]]=$T$3,0,MAX(0,ROUND(((Table127163143556797103[[#This Row],[run2 times]]-$T$3)/$T$3)*$T$6,2))))</f>
        <v>240.4</v>
      </c>
      <c r="P9" s="2">
        <f>IF(OR(Table127163143556797103[[#This Row],[run 1 times]]="",Table127163143556797103[[#This Row],[run2 times]]=""),"",Table127163143556797103[[#This Row],[run 1 times]]+Table127163143556797103[[#This Row],[run2 times]])</f>
        <v>2.1163194444444445E-3</v>
      </c>
      <c r="Q9" s="3">
        <f>IF(Table127163143556797103[[#This Row],[total time]]="",999.99,IF(Table127163143556797103[[#This Row],[total time]]=$U$3,0,MAX(0,ROUND(((Table127163143556797103[[#This Row],[total time]]-$U$3)/$U$3)*$T$6,2))))</f>
        <v>189.13</v>
      </c>
      <c r="W9">
        <v>23</v>
      </c>
      <c r="X9">
        <v>128</v>
      </c>
      <c r="Y9" t="s">
        <v>24</v>
      </c>
      <c r="Z9" t="s">
        <v>572</v>
      </c>
      <c r="AA9" t="s">
        <v>559</v>
      </c>
      <c r="AB9">
        <v>2009</v>
      </c>
      <c r="AC9" s="1">
        <v>7.3472222222222222E-4</v>
      </c>
      <c r="AD9" s="1">
        <v>7.8703703703703705E-4</v>
      </c>
      <c r="AE9" s="1">
        <v>1.5217592592592592E-3</v>
      </c>
      <c r="AG9">
        <v>91622</v>
      </c>
      <c r="AH9" s="2">
        <f>_xlfn.LET(_xlpm.x,Table1221101934465870100106[[#This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7.3472222222222222E-4</v>
      </c>
      <c r="AI9" s="3">
        <f>IF(Table1221101934465870100106[[#This Row],[run 1 times]]="",999.99,IF(Table1221101934465870100106[[#This Row],[run 1 times]]=$AO$3,0,MAX(0,ROUND(((Table1221101934465870100106[[#This Row],[run 1 times]]-$AO$3)/$AO$3)*$AO$6,2))))</f>
        <v>138.61000000000001</v>
      </c>
      <c r="AJ9" s="2">
        <f>_xlfn.LET(_xlpm.x,Table1221101934465870100106[[#This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7.8703703703703705E-4</v>
      </c>
      <c r="AK9" s="3">
        <f>IF(Table1221101934465870100106[[#This Row],[run2 times]]="",999.99,IF(Table1221101934465870100106[[#This Row],[run2 times]]=$AP$3,0,MAX(0,ROUND(((Table1221101934465870100106[[#This Row],[run2 times]]-$AP$3)/$AP$3)*$AO$6,2))))</f>
        <v>138.13999999999999</v>
      </c>
      <c r="AL9" s="2">
        <f>IF(OR(Table1221101934465870100106[[#This Row],[run 1 times]]="",Table1221101934465870100106[[#This Row],[run2 times]]=""),"",Table1221101934465870100106[[#This Row],[run 1 times]]+Table1221101934465870100106[[#This Row],[run2 times]])</f>
        <v>1.5217592592592592E-3</v>
      </c>
      <c r="AM9" s="3">
        <f>IF(Table1221101934465870100106[[#This Row],[total time]]="",999.99,IF(Table1221101934465870100106[[#This Row],[total time]]=$AQ$3,0,MAX(0,ROUND(((Table1221101934465870100106[[#This Row],[total time]]-$AQ$3)/$AQ$3)*$AO$6,2))))</f>
        <v>138.37</v>
      </c>
    </row>
    <row r="10" spans="1:43" x14ac:dyDescent="0.3">
      <c r="A10">
        <v>26</v>
      </c>
      <c r="B10">
        <v>26</v>
      </c>
      <c r="C10" t="s">
        <v>487</v>
      </c>
      <c r="D10" t="s">
        <v>480</v>
      </c>
      <c r="E10" t="s">
        <v>488</v>
      </c>
      <c r="F10">
        <v>2014</v>
      </c>
      <c r="G10" s="5">
        <v>1.0847222222222222E-3</v>
      </c>
      <c r="H10" t="s">
        <v>518</v>
      </c>
      <c r="K10">
        <v>108842</v>
      </c>
      <c r="L10" s="2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1.0847222222222222E-3</v>
      </c>
      <c r="M10" s="3">
        <f>IF(Table127163143556797103[[#This Row],[run 1 times]]="",999.99,IF(Table127163143556797103[[#This Row],[run 1 times]]=$S$3,0,MAX(0,ROUND(((Table127163143556797103[[#This Row],[run 1 times]]-$S$3)/$S$3)*$T$6,2))))</f>
        <v>203.4</v>
      </c>
      <c r="N10" s="2" t="str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10" s="3">
        <f>IF(Table127163143556797103[[#This Row],[run2 times]]="",999.99,IF(Table127163143556797103[[#This Row],[run2 times]]=$T$3,0,MAX(0,ROUND(((Table127163143556797103[[#This Row],[run2 times]]-$T$3)/$T$3)*$T$6,2))))</f>
        <v>999.99</v>
      </c>
      <c r="P10" s="2" t="str">
        <f>IF(OR(Table127163143556797103[[#This Row],[run 1 times]]="",Table127163143556797103[[#This Row],[run2 times]]=""),"",Table127163143556797103[[#This Row],[run 1 times]]+Table127163143556797103[[#This Row],[run2 times]])</f>
        <v/>
      </c>
      <c r="Q10" s="3">
        <f>IF(Table127163143556797103[[#This Row],[total time]]="",999.99,IF(Table127163143556797103[[#This Row],[total time]]=$U$3,0,MAX(0,ROUND(((Table127163143556797103[[#This Row],[total time]]-$U$3)/$U$3)*$T$6,2))))</f>
        <v>999.99</v>
      </c>
      <c r="W10">
        <v>24</v>
      </c>
      <c r="X10">
        <v>129</v>
      </c>
      <c r="Y10" t="s">
        <v>373</v>
      </c>
      <c r="Z10" t="s">
        <v>547</v>
      </c>
      <c r="AA10" t="s">
        <v>550</v>
      </c>
      <c r="AB10">
        <v>2010</v>
      </c>
      <c r="AC10" s="1">
        <v>7.1354166666666669E-4</v>
      </c>
      <c r="AD10" s="1">
        <v>7.5983796296296303E-4</v>
      </c>
      <c r="AE10" s="1">
        <v>1.4733796296296296E-3</v>
      </c>
      <c r="AG10">
        <v>102764</v>
      </c>
      <c r="AH10" s="2">
        <f>_xlfn.LET(_xlpm.x,Table1221101934465870100106[[#This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7.1354166666666669E-4</v>
      </c>
      <c r="AI10" s="3">
        <f>IF(Table1221101934465870100106[[#This Row],[run 1 times]]="",999.99,IF(Table1221101934465870100106[[#This Row],[run 1 times]]=$AO$3,0,MAX(0,ROUND(((Table1221101934465870100106[[#This Row],[run 1 times]]-$AO$3)/$AO$3)*$AO$6,2))))</f>
        <v>113.57</v>
      </c>
      <c r="AJ10" s="2">
        <f>_xlfn.LET(_xlpm.x,Table1221101934465870100106[[#This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7.5983796296296303E-4</v>
      </c>
      <c r="AK10" s="3">
        <f>IF(Table1221101934465870100106[[#This Row],[run2 times]]="",999.99,IF(Table1221101934465870100106[[#This Row],[run2 times]]=$AP$3,0,MAX(0,ROUND(((Table1221101934465870100106[[#This Row],[run2 times]]-$AP$3)/$AP$3)*$AO$6,2))))</f>
        <v>108.13</v>
      </c>
      <c r="AL10" s="2">
        <f>IF(OR(Table1221101934465870100106[[#This Row],[run 1 times]]="",Table1221101934465870100106[[#This Row],[run2 times]]=""),"",Table1221101934465870100106[[#This Row],[run 1 times]]+Table1221101934465870100106[[#This Row],[run2 times]])</f>
        <v>1.4733796296296296E-3</v>
      </c>
      <c r="AM10" s="3">
        <f>IF(Table1221101934465870100106[[#This Row],[total time]]="",999.99,IF(Table1221101934465870100106[[#This Row],[total time]]=$AQ$3,0,MAX(0,ROUND(((Table1221101934465870100106[[#This Row],[total time]]-$AQ$3)/$AQ$3)*$AO$6,2))))</f>
        <v>110.76</v>
      </c>
    </row>
    <row r="11" spans="1:43" x14ac:dyDescent="0.3">
      <c r="A11">
        <v>30</v>
      </c>
      <c r="B11">
        <v>31</v>
      </c>
      <c r="C11" t="s">
        <v>257</v>
      </c>
      <c r="D11" t="s">
        <v>522</v>
      </c>
      <c r="E11" t="s">
        <v>544</v>
      </c>
      <c r="F11">
        <v>2013</v>
      </c>
      <c r="G11" s="5">
        <v>1.1781249999999999E-3</v>
      </c>
      <c r="H11" s="5">
        <v>1.045023148148148E-3</v>
      </c>
      <c r="I11" s="5">
        <v>2.2231481481481481E-3</v>
      </c>
      <c r="K11">
        <v>117955</v>
      </c>
      <c r="L11" s="2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1.1781249999999999E-3</v>
      </c>
      <c r="M11" s="3">
        <f>IF(Table127163143556797103[[#This Row],[run 1 times]]="",999.99,IF(Table127163143556797103[[#This Row],[run 1 times]]=$S$3,0,MAX(0,ROUND(((Table127163143556797103[[#This Row],[run 1 times]]-$S$3)/$S$3)*$T$6,2))))</f>
        <v>307.88</v>
      </c>
      <c r="N11" s="2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1.045023148148148E-3</v>
      </c>
      <c r="O11" s="3">
        <f>IF(Table127163143556797103[[#This Row],[run2 times]]="",999.99,IF(Table127163143556797103[[#This Row],[run2 times]]=$T$3,0,MAX(0,ROUND(((Table127163143556797103[[#This Row],[run2 times]]-$T$3)/$T$3)*$T$6,2))))</f>
        <v>275.13</v>
      </c>
      <c r="P11" s="2">
        <f>IF(OR(Table127163143556797103[[#This Row],[run 1 times]]="",Table127163143556797103[[#This Row],[run2 times]]=""),"",Table127163143556797103[[#This Row],[run 1 times]]+Table127163143556797103[[#This Row],[run2 times]])</f>
        <v>2.2231481481481477E-3</v>
      </c>
      <c r="Q11" s="3">
        <f>IF(Table127163143556797103[[#This Row],[total time]]="",999.99,IF(Table127163143556797103[[#This Row],[total time]]=$U$3,0,MAX(0,ROUND(((Table127163143556797103[[#This Row],[total time]]-$U$3)/$U$3)*$T$6,2))))</f>
        <v>249.66</v>
      </c>
      <c r="W11">
        <v>1</v>
      </c>
      <c r="X11">
        <v>106</v>
      </c>
      <c r="Y11" t="s">
        <v>826</v>
      </c>
      <c r="Z11" t="s">
        <v>547</v>
      </c>
      <c r="AA11" t="s">
        <v>827</v>
      </c>
      <c r="AB11">
        <v>2010</v>
      </c>
      <c r="AC11" s="1">
        <v>56.47</v>
      </c>
      <c r="AD11" s="1">
        <v>58.8</v>
      </c>
      <c r="AE11" s="1">
        <v>1.3341435185185186E-3</v>
      </c>
      <c r="AG11">
        <v>88769</v>
      </c>
      <c r="AH11" s="2">
        <f>_xlfn.LET(_xlpm.x,Table1221101934465870100106[[#This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6.5358796296296291E-4</v>
      </c>
      <c r="AI11" s="3">
        <f>IF(Table1221101934465870100106[[#This Row],[run 1 times]]="",999.99,IF(Table1221101934465870100106[[#This Row],[run 1 times]]=$AO$3,0,MAX(0,ROUND(((Table1221101934465870100106[[#This Row],[run 1 times]]-$AO$3)/$AO$3)*$AO$6,2))))</f>
        <v>42.69</v>
      </c>
      <c r="AJ11" s="2">
        <f>_xlfn.LET(_xlpm.x,Table1221101934465870100106[[#This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6.8055555555555556E-4</v>
      </c>
      <c r="AK11" s="3">
        <f>IF(Table1221101934465870100106[[#This Row],[run2 times]]="",999.99,IF(Table1221101934465870100106[[#This Row],[run2 times]]=$AP$3,0,MAX(0,ROUND(((Table1221101934465870100106[[#This Row],[run2 times]]-$AP$3)/$AP$3)*$AO$6,2))))</f>
        <v>20.68</v>
      </c>
      <c r="AL11" s="2">
        <f>IF(OR(Table1221101934465870100106[[#This Row],[run 1 times]]="",Table1221101934465870100106[[#This Row],[run2 times]]=""),"",Table1221101934465870100106[[#This Row],[run 1 times]]+Table1221101934465870100106[[#This Row],[run2 times]])</f>
        <v>1.3341435185185184E-3</v>
      </c>
      <c r="AM11" s="3">
        <f>IF(Table1221101934465870100106[[#This Row],[total time]]="",999.99,IF(Table1221101934465870100106[[#This Row],[total time]]=$AQ$3,0,MAX(0,ROUND(((Table1221101934465870100106[[#This Row],[total time]]-$AQ$3)/$AQ$3)*$AO$6,2))))</f>
        <v>31.31</v>
      </c>
    </row>
    <row r="12" spans="1:43" x14ac:dyDescent="0.3">
      <c r="A12">
        <v>31</v>
      </c>
      <c r="B12">
        <v>32</v>
      </c>
      <c r="C12" t="s">
        <v>487</v>
      </c>
      <c r="D12" t="s">
        <v>480</v>
      </c>
      <c r="E12" t="s">
        <v>514</v>
      </c>
      <c r="F12">
        <v>2014</v>
      </c>
      <c r="G12" t="s">
        <v>512</v>
      </c>
      <c r="H12" s="5">
        <v>9.2627314814814818E-4</v>
      </c>
      <c r="K12">
        <v>108289</v>
      </c>
      <c r="L12" s="2" t="str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12" s="3">
        <f>IF(Table127163143556797103[[#This Row],[run 1 times]]="",999.99,IF(Table127163143556797103[[#This Row],[run 1 times]]=$S$3,0,MAX(0,ROUND(((Table127163143556797103[[#This Row],[run 1 times]]-$S$3)/$S$3)*$T$6,2))))</f>
        <v>999.99</v>
      </c>
      <c r="N12" s="2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9.2627314814814818E-4</v>
      </c>
      <c r="O12" s="3">
        <f>IF(Table127163143556797103[[#This Row],[run2 times]]="",999.99,IF(Table127163143556797103[[#This Row],[run2 times]]=$T$3,0,MAX(0,ROUND(((Table127163143556797103[[#This Row],[run2 times]]-$T$3)/$T$3)*$T$6,2))))</f>
        <v>129.1</v>
      </c>
      <c r="P12" s="2" t="str">
        <f>IF(OR(Table127163143556797103[[#This Row],[run 1 times]]="",Table127163143556797103[[#This Row],[run2 times]]=""),"",Table127163143556797103[[#This Row],[run 1 times]]+Table127163143556797103[[#This Row],[run2 times]])</f>
        <v/>
      </c>
      <c r="Q12" s="3">
        <f>IF(Table127163143556797103[[#This Row],[total time]]="",999.99,IF(Table127163143556797103[[#This Row],[total time]]=$U$3,0,MAX(0,ROUND(((Table127163143556797103[[#This Row],[total time]]-$U$3)/$U$3)*$T$6,2))))</f>
        <v>999.99</v>
      </c>
      <c r="W12">
        <v>3</v>
      </c>
      <c r="X12">
        <v>108</v>
      </c>
      <c r="Y12" t="s">
        <v>257</v>
      </c>
      <c r="Z12" t="s">
        <v>547</v>
      </c>
      <c r="AA12" t="s">
        <v>578</v>
      </c>
      <c r="AB12">
        <v>2010</v>
      </c>
      <c r="AC12" s="1">
        <v>8.1261574074074081E-4</v>
      </c>
      <c r="AD12" s="1">
        <v>8.7118055555555549E-4</v>
      </c>
      <c r="AE12" s="1">
        <v>1.6837962962962961E-3</v>
      </c>
      <c r="AG12">
        <v>121966</v>
      </c>
      <c r="AH12" s="2">
        <f>_xlfn.LET(_xlpm.x,Table1221101934465870100106[[#This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8.1261574074074081E-4</v>
      </c>
      <c r="AI12" s="3">
        <f>IF(Table1221101934465870100106[[#This Row],[run 1 times]]="",999.99,IF(Table1221101934465870100106[[#This Row],[run 1 times]]=$AO$3,0,MAX(0,ROUND(((Table1221101934465870100106[[#This Row],[run 1 times]]-$AO$3)/$AO$3)*$AO$6,2))))</f>
        <v>230.7</v>
      </c>
      <c r="AJ12" s="2">
        <f>_xlfn.LET(_xlpm.x,Table1221101934465870100106[[#This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8.7118055555555549E-4</v>
      </c>
      <c r="AK12" s="3">
        <f>IF(Table1221101934465870100106[[#This Row],[run2 times]]="",999.99,IF(Table1221101934465870100106[[#This Row],[run2 times]]=$AP$3,0,MAX(0,ROUND(((Table1221101934465870100106[[#This Row],[run2 times]]-$AP$3)/$AP$3)*$AO$6,2))))</f>
        <v>230.95</v>
      </c>
      <c r="AL12" s="2">
        <f>IF(OR(Table1221101934465870100106[[#This Row],[run 1 times]]="",Table1221101934465870100106[[#This Row],[run2 times]]=""),"",Table1221101934465870100106[[#This Row],[run 1 times]]+Table1221101934465870100106[[#This Row],[run2 times]])</f>
        <v>1.6837962962962963E-3</v>
      </c>
      <c r="AM12" s="3">
        <f>IF(Table1221101934465870100106[[#This Row],[total time]]="",999.99,IF(Table1221101934465870100106[[#This Row],[total time]]=$AQ$3,0,MAX(0,ROUND(((Table1221101934465870100106[[#This Row],[total time]]-$AQ$3)/$AQ$3)*$AO$6,2))))</f>
        <v>230.83</v>
      </c>
    </row>
    <row r="13" spans="1:43" x14ac:dyDescent="0.3">
      <c r="A13">
        <v>32</v>
      </c>
      <c r="B13">
        <v>33</v>
      </c>
      <c r="C13" t="s">
        <v>24</v>
      </c>
      <c r="D13" t="s">
        <v>522</v>
      </c>
      <c r="E13" t="s">
        <v>524</v>
      </c>
      <c r="F13">
        <v>2012</v>
      </c>
      <c r="G13" s="5">
        <v>9.1631944444444443E-4</v>
      </c>
      <c r="H13" t="s">
        <v>518</v>
      </c>
      <c r="K13">
        <v>93755</v>
      </c>
      <c r="L13" s="2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9.1631944444444443E-4</v>
      </c>
      <c r="M13" s="3">
        <f>IF(Table127163143556797103[[#This Row],[run 1 times]]="",999.99,IF(Table127163143556797103[[#This Row],[run 1 times]]=$S$3,0,MAX(0,ROUND(((Table127163143556797103[[#This Row],[run 1 times]]-$S$3)/$S$3)*$T$6,2))))</f>
        <v>15.02</v>
      </c>
      <c r="N13" s="2" t="str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13" s="3">
        <f>IF(Table127163143556797103[[#This Row],[run2 times]]="",999.99,IF(Table127163143556797103[[#This Row],[run2 times]]=$T$3,0,MAX(0,ROUND(((Table127163143556797103[[#This Row],[run2 times]]-$T$3)/$T$3)*$T$6,2))))</f>
        <v>999.99</v>
      </c>
      <c r="P13" s="2" t="str">
        <f>IF(OR(Table127163143556797103[[#This Row],[run 1 times]]="",Table127163143556797103[[#This Row],[run2 times]]=""),"",Table127163143556797103[[#This Row],[run 1 times]]+Table127163143556797103[[#This Row],[run2 times]])</f>
        <v/>
      </c>
      <c r="Q13" s="3">
        <f>IF(Table127163143556797103[[#This Row],[total time]]="",999.99,IF(Table127163143556797103[[#This Row],[total time]]=$U$3,0,MAX(0,ROUND(((Table127163143556797103[[#This Row],[total time]]-$U$3)/$U$3)*$T$6,2))))</f>
        <v>999.99</v>
      </c>
      <c r="W13">
        <v>5</v>
      </c>
      <c r="X13">
        <v>110</v>
      </c>
      <c r="Y13" t="s">
        <v>373</v>
      </c>
      <c r="Z13" t="s">
        <v>547</v>
      </c>
      <c r="AA13" t="s">
        <v>548</v>
      </c>
      <c r="AB13">
        <v>2011</v>
      </c>
      <c r="AC13" s="1">
        <v>7.3912037037037034E-4</v>
      </c>
      <c r="AD13" s="1">
        <v>7.9513888888888896E-4</v>
      </c>
      <c r="AE13" s="1">
        <v>1.5342592592592593E-3</v>
      </c>
      <c r="AG13">
        <v>94824</v>
      </c>
      <c r="AH13" s="2">
        <f>_xlfn.LET(_xlpm.x,Table1221101934465870100106[[#This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7.3912037037037034E-4</v>
      </c>
      <c r="AI13" s="3">
        <f>IF(Table1221101934465870100106[[#This Row],[run 1 times]]="",999.99,IF(Table1221101934465870100106[[#This Row],[run 1 times]]=$AO$3,0,MAX(0,ROUND(((Table1221101934465870100106[[#This Row],[run 1 times]]-$AO$3)/$AO$3)*$AO$6,2))))</f>
        <v>143.81</v>
      </c>
      <c r="AJ13" s="2">
        <f>_xlfn.LET(_xlpm.x,Table1221101934465870100106[[#This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7.9513888888888896E-4</v>
      </c>
      <c r="AK13" s="3">
        <f>IF(Table1221101934465870100106[[#This Row],[run2 times]]="",999.99,IF(Table1221101934465870100106[[#This Row],[run2 times]]=$AP$3,0,MAX(0,ROUND(((Table1221101934465870100106[[#This Row],[run2 times]]-$AP$3)/$AP$3)*$AO$6,2))))</f>
        <v>147.07</v>
      </c>
      <c r="AL13" s="2">
        <f>IF(OR(Table1221101934465870100106[[#This Row],[run 1 times]]="",Table1221101934465870100106[[#This Row],[run2 times]]=""),"",Table1221101934465870100106[[#This Row],[run 1 times]]+Table1221101934465870100106[[#This Row],[run2 times]])</f>
        <v>1.5342592592592593E-3</v>
      </c>
      <c r="AM13" s="3">
        <f>IF(Table1221101934465870100106[[#This Row],[total time]]="",999.99,IF(Table1221101934465870100106[[#This Row],[total time]]=$AQ$3,0,MAX(0,ROUND(((Table1221101934465870100106[[#This Row],[total time]]-$AQ$3)/$AQ$3)*$AO$6,2))))</f>
        <v>145.5</v>
      </c>
    </row>
    <row r="14" spans="1:43" x14ac:dyDescent="0.3">
      <c r="A14">
        <v>2</v>
      </c>
      <c r="B14">
        <v>2</v>
      </c>
      <c r="C14" t="s">
        <v>479</v>
      </c>
      <c r="D14" t="s">
        <v>522</v>
      </c>
      <c r="E14" t="s">
        <v>853</v>
      </c>
      <c r="F14">
        <v>2013</v>
      </c>
      <c r="G14" s="5">
        <v>9.8749999999999988E-4</v>
      </c>
      <c r="H14" s="5">
        <v>9.4074074074074079E-4</v>
      </c>
      <c r="I14" s="5">
        <v>1.9282407407407408E-3</v>
      </c>
      <c r="K14">
        <v>111694</v>
      </c>
      <c r="L14" s="2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9.8749999999999988E-4</v>
      </c>
      <c r="M14" s="3">
        <f>IF(Table127163143556797103[[#This Row],[run 1 times]]="",999.99,IF(Table127163143556797103[[#This Row],[run 1 times]]=$S$3,0,MAX(0,ROUND(((Table127163143556797103[[#This Row],[run 1 times]]-$S$3)/$S$3)*$T$6,2))))</f>
        <v>94.64</v>
      </c>
      <c r="N14" s="2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9.4074074074074079E-4</v>
      </c>
      <c r="O14" s="3">
        <f>IF(Table127163143556797103[[#This Row],[run2 times]]="",999.99,IF(Table127163143556797103[[#This Row],[run2 times]]=$T$3,0,MAX(0,ROUND(((Table127163143556797103[[#This Row],[run2 times]]-$T$3)/$T$3)*$T$6,2))))</f>
        <v>146.88999999999999</v>
      </c>
      <c r="P14" s="2">
        <f>IF(OR(Table127163143556797103[[#This Row],[run 1 times]]="",Table127163143556797103[[#This Row],[run2 times]]=""),"",Table127163143556797103[[#This Row],[run 1 times]]+Table127163143556797103[[#This Row],[run2 times]])</f>
        <v>1.9282407407407408E-3</v>
      </c>
      <c r="Q14" s="3">
        <f>IF(Table127163143556797103[[#This Row],[total time]]="",999.99,IF(Table127163143556797103[[#This Row],[total time]]=$U$3,0,MAX(0,ROUND(((Table127163143556797103[[#This Row],[total time]]-$U$3)/$U$3)*$T$6,2))))</f>
        <v>82.57</v>
      </c>
      <c r="W14">
        <v>9</v>
      </c>
      <c r="X14">
        <v>114</v>
      </c>
      <c r="Y14" t="s">
        <v>257</v>
      </c>
      <c r="Z14" t="s">
        <v>572</v>
      </c>
      <c r="AA14" t="s">
        <v>567</v>
      </c>
      <c r="AB14">
        <v>2009</v>
      </c>
      <c r="AC14" s="1">
        <v>7.4456018518518513E-4</v>
      </c>
      <c r="AD14" s="1">
        <v>7.9027777777777777E-4</v>
      </c>
      <c r="AE14" s="1">
        <v>1.5348379629629631E-3</v>
      </c>
      <c r="AG14">
        <v>117692</v>
      </c>
      <c r="AH14" s="2">
        <f>_xlfn.LET(_xlpm.x,Table1221101934465870100106[[#This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7.4456018518518513E-4</v>
      </c>
      <c r="AI14" s="3">
        <f>IF(Table1221101934465870100106[[#This Row],[run 1 times]]="",999.99,IF(Table1221101934465870100106[[#This Row],[run 1 times]]=$AO$3,0,MAX(0,ROUND(((Table1221101934465870100106[[#This Row],[run 1 times]]-$AO$3)/$AO$3)*$AO$6,2))))</f>
        <v>150.24</v>
      </c>
      <c r="AJ14" s="2">
        <f>_xlfn.LET(_xlpm.x,Table1221101934465870100106[[#This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7.9027777777777777E-4</v>
      </c>
      <c r="AK14" s="3">
        <f>IF(Table1221101934465870100106[[#This Row],[run2 times]]="",999.99,IF(Table1221101934465870100106[[#This Row],[run2 times]]=$AP$3,0,MAX(0,ROUND(((Table1221101934465870100106[[#This Row],[run2 times]]-$AP$3)/$AP$3)*$AO$6,2))))</f>
        <v>141.71</v>
      </c>
      <c r="AL14" s="2">
        <f>IF(OR(Table1221101934465870100106[[#This Row],[run 1 times]]="",Table1221101934465870100106[[#This Row],[run2 times]]=""),"",Table1221101934465870100106[[#This Row],[run 1 times]]+Table1221101934465870100106[[#This Row],[run2 times]])</f>
        <v>1.5348379629629629E-3</v>
      </c>
      <c r="AM14" s="3">
        <f>IF(Table1221101934465870100106[[#This Row],[total time]]="",999.99,IF(Table1221101934465870100106[[#This Row],[total time]]=$AQ$3,0,MAX(0,ROUND(((Table1221101934465870100106[[#This Row],[total time]]-$AQ$3)/$AQ$3)*$AO$6,2))))</f>
        <v>145.83000000000001</v>
      </c>
    </row>
    <row r="15" spans="1:43" x14ac:dyDescent="0.3">
      <c r="A15">
        <v>3</v>
      </c>
      <c r="B15">
        <v>3</v>
      </c>
      <c r="C15" t="s">
        <v>479</v>
      </c>
      <c r="D15" t="s">
        <v>522</v>
      </c>
      <c r="E15" t="s">
        <v>541</v>
      </c>
      <c r="F15">
        <v>2013</v>
      </c>
      <c r="G15" s="5">
        <v>9.9178240740740737E-4</v>
      </c>
      <c r="H15" s="5">
        <v>9.335648148148148E-4</v>
      </c>
      <c r="I15" s="5">
        <v>1.9253472222222222E-3</v>
      </c>
      <c r="K15">
        <v>103278</v>
      </c>
      <c r="L15" s="2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9.9178240740740737E-4</v>
      </c>
      <c r="M15" s="3">
        <f>IF(Table127163143556797103[[#This Row],[run 1 times]]="",999.99,IF(Table127163143556797103[[#This Row],[run 1 times]]=$S$3,0,MAX(0,ROUND(((Table127163143556797103[[#This Row],[run 1 times]]-$S$3)/$S$3)*$T$6,2))))</f>
        <v>99.43</v>
      </c>
      <c r="N15" s="2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9.335648148148148E-4</v>
      </c>
      <c r="O15" s="3">
        <f>IF(Table127163143556797103[[#This Row],[run2 times]]="",999.99,IF(Table127163143556797103[[#This Row],[run2 times]]=$T$3,0,MAX(0,ROUND(((Table127163143556797103[[#This Row],[run2 times]]-$T$3)/$T$3)*$T$6,2))))</f>
        <v>138.06</v>
      </c>
      <c r="P15" s="2">
        <f>IF(OR(Table127163143556797103[[#This Row],[run 1 times]]="",Table127163143556797103[[#This Row],[run2 times]]=""),"",Table127163143556797103[[#This Row],[run 1 times]]+Table127163143556797103[[#This Row],[run2 times]])</f>
        <v>1.9253472222222222E-3</v>
      </c>
      <c r="Q15" s="3">
        <f>IF(Table127163143556797103[[#This Row],[total time]]="",999.99,IF(Table127163143556797103[[#This Row],[total time]]=$U$3,0,MAX(0,ROUND(((Table127163143556797103[[#This Row],[total time]]-$U$3)/$U$3)*$T$6,2))))</f>
        <v>80.930000000000007</v>
      </c>
      <c r="W15">
        <v>10</v>
      </c>
      <c r="X15">
        <v>115</v>
      </c>
      <c r="Y15" t="s">
        <v>826</v>
      </c>
      <c r="Z15" t="s">
        <v>547</v>
      </c>
      <c r="AA15" t="s">
        <v>831</v>
      </c>
      <c r="AB15">
        <v>2010</v>
      </c>
      <c r="AC15" s="1">
        <v>59.79</v>
      </c>
      <c r="AD15" s="1">
        <v>7.4317129629629624E-4</v>
      </c>
      <c r="AE15" s="1">
        <v>1.4351851851851852E-3</v>
      </c>
      <c r="AG15">
        <v>92669</v>
      </c>
      <c r="AH15" s="2">
        <f>_xlfn.LET(_xlpm.x,Table1221101934465870100106[[#This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6.9201388888888893E-4</v>
      </c>
      <c r="AI15" s="3">
        <f>IF(Table1221101934465870100106[[#This Row],[run 1 times]]="",999.99,IF(Table1221101934465870100106[[#This Row],[run 1 times]]=$AO$3,0,MAX(0,ROUND(((Table1221101934465870100106[[#This Row],[run 1 times]]-$AO$3)/$AO$3)*$AO$6,2))))</f>
        <v>88.12</v>
      </c>
      <c r="AJ15" s="2">
        <f>_xlfn.LET(_xlpm.x,Table1221101934465870100106[[#This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7.4317129629629624E-4</v>
      </c>
      <c r="AK15" s="3">
        <f>IF(Table1221101934465870100106[[#This Row],[run2 times]]="",999.99,IF(Table1221101934465870100106[[#This Row],[run2 times]]=$AP$3,0,MAX(0,ROUND(((Table1221101934465870100106[[#This Row],[run2 times]]-$AP$3)/$AP$3)*$AO$6,2))))</f>
        <v>89.75</v>
      </c>
      <c r="AL15" s="2">
        <f>IF(OR(Table1221101934465870100106[[#This Row],[run 1 times]]="",Table1221101934465870100106[[#This Row],[run2 times]]=""),"",Table1221101934465870100106[[#This Row],[run 1 times]]+Table1221101934465870100106[[#This Row],[run2 times]])</f>
        <v>1.4351851851851852E-3</v>
      </c>
      <c r="AM15" s="3">
        <f>IF(Table1221101934465870100106[[#This Row],[total time]]="",999.99,IF(Table1221101934465870100106[[#This Row],[total time]]=$AQ$3,0,MAX(0,ROUND(((Table1221101934465870100106[[#This Row],[total time]]-$AQ$3)/$AQ$3)*$AO$6,2))))</f>
        <v>88.96</v>
      </c>
    </row>
    <row r="16" spans="1:43" x14ac:dyDescent="0.3">
      <c r="A16">
        <v>6</v>
      </c>
      <c r="B16">
        <v>6</v>
      </c>
      <c r="C16" t="s">
        <v>373</v>
      </c>
      <c r="D16" t="s">
        <v>480</v>
      </c>
      <c r="E16" t="s">
        <v>502</v>
      </c>
      <c r="F16">
        <v>2014</v>
      </c>
      <c r="G16" s="5">
        <v>1.0984953703703703E-3</v>
      </c>
      <c r="H16" s="5">
        <v>1.0079861111111112E-3</v>
      </c>
      <c r="I16" s="5">
        <v>2.1064814814814813E-3</v>
      </c>
      <c r="K16">
        <v>122059</v>
      </c>
      <c r="L16" s="2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1.0984953703703703E-3</v>
      </c>
      <c r="M16" s="3">
        <f>IF(Table127163143556797103[[#This Row],[run 1 times]]="",999.99,IF(Table127163143556797103[[#This Row],[run 1 times]]=$S$3,0,MAX(0,ROUND(((Table127163143556797103[[#This Row],[run 1 times]]-$S$3)/$S$3)*$T$6,2))))</f>
        <v>218.81</v>
      </c>
      <c r="N16" s="2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1.0079861111111112E-3</v>
      </c>
      <c r="O16" s="3">
        <f>IF(Table127163143556797103[[#This Row],[run2 times]]="",999.99,IF(Table127163143556797103[[#This Row],[run2 times]]=$T$3,0,MAX(0,ROUND(((Table127163143556797103[[#This Row],[run2 times]]-$T$3)/$T$3)*$T$6,2))))</f>
        <v>229.58</v>
      </c>
      <c r="P16" s="2">
        <f>IF(OR(Table127163143556797103[[#This Row],[run 1 times]]="",Table127163143556797103[[#This Row],[run2 times]]=""),"",Table127163143556797103[[#This Row],[run 1 times]]+Table127163143556797103[[#This Row],[run2 times]])</f>
        <v>2.1064814814814817E-3</v>
      </c>
      <c r="Q16" s="3">
        <f>IF(Table127163143556797103[[#This Row],[total time]]="",999.99,IF(Table127163143556797103[[#This Row],[total time]]=$U$3,0,MAX(0,ROUND(((Table127163143556797103[[#This Row],[total time]]-$U$3)/$U$3)*$T$6,2))))</f>
        <v>183.56</v>
      </c>
      <c r="W16">
        <v>11</v>
      </c>
      <c r="X16">
        <v>116</v>
      </c>
      <c r="Y16" t="s">
        <v>24</v>
      </c>
      <c r="Z16" t="s">
        <v>547</v>
      </c>
      <c r="AA16" t="s">
        <v>832</v>
      </c>
      <c r="AB16">
        <v>2011</v>
      </c>
      <c r="AC16" s="1">
        <v>7.7291666666666665E-4</v>
      </c>
      <c r="AD16" s="1">
        <v>8.2523148148148148E-4</v>
      </c>
      <c r="AE16" s="1">
        <v>1.598148148148148E-3</v>
      </c>
      <c r="AG16">
        <v>89072</v>
      </c>
      <c r="AH16" s="2">
        <f>_xlfn.LET(_xlpm.x,Table1221101934465870100106[[#This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7.7291666666666665E-4</v>
      </c>
      <c r="AI16" s="3">
        <f>IF(Table1221101934465870100106[[#This Row],[run 1 times]]="",999.99,IF(Table1221101934465870100106[[#This Row],[run 1 times]]=$AO$3,0,MAX(0,ROUND(((Table1221101934465870100106[[#This Row],[run 1 times]]-$AO$3)/$AO$3)*$AO$6,2))))</f>
        <v>183.77</v>
      </c>
      <c r="AJ16" s="2">
        <f>_xlfn.LET(_xlpm.x,Table1221101934465870100106[[#This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8.2523148148148148E-4</v>
      </c>
      <c r="AK16" s="3">
        <f>IF(Table1221101934465870100106[[#This Row],[run2 times]]="",999.99,IF(Table1221101934465870100106[[#This Row],[run2 times]]=$AP$3,0,MAX(0,ROUND(((Table1221101934465870100106[[#This Row],[run2 times]]-$AP$3)/$AP$3)*$AO$6,2))))</f>
        <v>180.27</v>
      </c>
      <c r="AL16" s="2">
        <f>IF(OR(Table1221101934465870100106[[#This Row],[run 1 times]]="",Table1221101934465870100106[[#This Row],[run2 times]]=""),"",Table1221101934465870100106[[#This Row],[run 1 times]]+Table1221101934465870100106[[#This Row],[run2 times]])</f>
        <v>1.598148148148148E-3</v>
      </c>
      <c r="AM16" s="3">
        <f>IF(Table1221101934465870100106[[#This Row],[total time]]="",999.99,IF(Table1221101934465870100106[[#This Row],[total time]]=$AQ$3,0,MAX(0,ROUND(((Table1221101934465870100106[[#This Row],[total time]]-$AQ$3)/$AQ$3)*$AO$6,2))))</f>
        <v>181.96</v>
      </c>
    </row>
    <row r="17" spans="1:39" x14ac:dyDescent="0.3">
      <c r="A17">
        <v>7</v>
      </c>
      <c r="B17">
        <v>7</v>
      </c>
      <c r="C17" t="s">
        <v>24</v>
      </c>
      <c r="D17" t="s">
        <v>522</v>
      </c>
      <c r="E17" t="s">
        <v>546</v>
      </c>
      <c r="F17">
        <v>2012</v>
      </c>
      <c r="G17" s="5">
        <v>9.430555555555556E-4</v>
      </c>
      <c r="H17" s="5">
        <v>9.1064814814814828E-4</v>
      </c>
      <c r="I17" s="5">
        <v>1.8537037037037038E-3</v>
      </c>
      <c r="K17">
        <v>102776</v>
      </c>
      <c r="L17" s="2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9.430555555555556E-4</v>
      </c>
      <c r="M17" s="3">
        <f>IF(Table127163143556797103[[#This Row],[run 1 times]]="",999.99,IF(Table127163143556797103[[#This Row],[run 1 times]]=$S$3,0,MAX(0,ROUND(((Table127163143556797103[[#This Row],[run 1 times]]-$S$3)/$S$3)*$T$6,2))))</f>
        <v>44.93</v>
      </c>
      <c r="N17" s="2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9.1064814814814828E-4</v>
      </c>
      <c r="O17" s="3">
        <f>IF(Table127163143556797103[[#This Row],[run2 times]]="",999.99,IF(Table127163143556797103[[#This Row],[run2 times]]=$T$3,0,MAX(0,ROUND(((Table127163143556797103[[#This Row],[run2 times]]-$T$3)/$T$3)*$T$6,2))))</f>
        <v>109.88</v>
      </c>
      <c r="P17" s="2">
        <f>IF(OR(Table127163143556797103[[#This Row],[run 1 times]]="",Table127163143556797103[[#This Row],[run2 times]]=""),"",Table127163143556797103[[#This Row],[run 1 times]]+Table127163143556797103[[#This Row],[run2 times]])</f>
        <v>1.8537037037037038E-3</v>
      </c>
      <c r="Q17" s="3">
        <f>IF(Table127163143556797103[[#This Row],[total time]]="",999.99,IF(Table127163143556797103[[#This Row],[total time]]=$U$3,0,MAX(0,ROUND(((Table127163143556797103[[#This Row],[total time]]-$U$3)/$U$3)*$T$6,2))))</f>
        <v>40.33</v>
      </c>
      <c r="W17">
        <v>12</v>
      </c>
      <c r="X17">
        <v>117</v>
      </c>
      <c r="Y17" t="s">
        <v>479</v>
      </c>
      <c r="Z17" t="s">
        <v>547</v>
      </c>
      <c r="AA17" t="s">
        <v>575</v>
      </c>
      <c r="AB17">
        <v>2011</v>
      </c>
      <c r="AC17" s="1">
        <v>54.99</v>
      </c>
      <c r="AD17" s="1" t="s">
        <v>512</v>
      </c>
      <c r="AE17" s="1"/>
      <c r="AG17">
        <v>94621</v>
      </c>
      <c r="AH17" s="2">
        <f>_xlfn.LET(_xlpm.x,Table1221101934465870100106[[#This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6.3645833333333339E-4</v>
      </c>
      <c r="AI17" s="3">
        <f>IF(Table1221101934465870100106[[#This Row],[run 1 times]]="",999.99,IF(Table1221101934465870100106[[#This Row],[run 1 times]]=$AO$3,0,MAX(0,ROUND(((Table1221101934465870100106[[#This Row],[run 1 times]]-$AO$3)/$AO$3)*$AO$6,2))))</f>
        <v>22.44</v>
      </c>
      <c r="AJ17" s="2" t="str">
        <f>_xlfn.LET(_xlpm.x,Table1221101934465870100106[[#This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17" s="3">
        <f>IF(Table1221101934465870100106[[#This Row],[run2 times]]="",999.99,IF(Table1221101934465870100106[[#This Row],[run2 times]]=$AP$3,0,MAX(0,ROUND(((Table1221101934465870100106[[#This Row],[run2 times]]-$AP$3)/$AP$3)*$AO$6,2))))</f>
        <v>999.99</v>
      </c>
      <c r="AL17" s="2" t="str">
        <f>IF(OR(Table1221101934465870100106[[#This Row],[run 1 times]]="",Table1221101934465870100106[[#This Row],[run2 times]]=""),"",Table1221101934465870100106[[#This Row],[run 1 times]]+Table1221101934465870100106[[#This Row],[run2 times]])</f>
        <v/>
      </c>
      <c r="AM17" s="3">
        <f>IF(Table1221101934465870100106[[#This Row],[total time]]="",999.99,IF(Table1221101934465870100106[[#This Row],[total time]]=$AQ$3,0,MAX(0,ROUND(((Table1221101934465870100106[[#This Row],[total time]]-$AQ$3)/$AQ$3)*$AO$6,2))))</f>
        <v>999.99</v>
      </c>
    </row>
    <row r="18" spans="1:39" x14ac:dyDescent="0.3">
      <c r="A18">
        <v>8</v>
      </c>
      <c r="B18">
        <v>8</v>
      </c>
      <c r="C18" t="s">
        <v>257</v>
      </c>
      <c r="D18" t="s">
        <v>480</v>
      </c>
      <c r="E18" t="s">
        <v>489</v>
      </c>
      <c r="F18">
        <v>2014</v>
      </c>
      <c r="G18" s="5">
        <v>9.9166666666666674E-4</v>
      </c>
      <c r="H18" s="5">
        <v>9.5324074074074072E-4</v>
      </c>
      <c r="I18" s="5">
        <v>1.9449074074074073E-3</v>
      </c>
      <c r="K18">
        <v>116952</v>
      </c>
      <c r="L18" s="2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9.9166666666666674E-4</v>
      </c>
      <c r="M18" s="3">
        <f>IF(Table127163143556797103[[#This Row],[run 1 times]]="",999.99,IF(Table127163143556797103[[#This Row],[run 1 times]]=$S$3,0,MAX(0,ROUND(((Table127163143556797103[[#This Row],[run 1 times]]-$S$3)/$S$3)*$T$6,2))))</f>
        <v>99.3</v>
      </c>
      <c r="N18" s="2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9.5324074074074072E-4</v>
      </c>
      <c r="O18" s="3">
        <f>IF(Table127163143556797103[[#This Row],[run2 times]]="",999.99,IF(Table127163143556797103[[#This Row],[run2 times]]=$T$3,0,MAX(0,ROUND(((Table127163143556797103[[#This Row],[run2 times]]-$T$3)/$T$3)*$T$6,2))))</f>
        <v>162.26</v>
      </c>
      <c r="P18" s="2">
        <f>IF(OR(Table127163143556797103[[#This Row],[run 1 times]]="",Table127163143556797103[[#This Row],[run2 times]]=""),"",Table127163143556797103[[#This Row],[run 1 times]]+Table127163143556797103[[#This Row],[run2 times]])</f>
        <v>1.9449074074074073E-3</v>
      </c>
      <c r="Q18" s="3">
        <f>IF(Table127163143556797103[[#This Row],[total time]]="",999.99,IF(Table127163143556797103[[#This Row],[total time]]=$U$3,0,MAX(0,ROUND(((Table127163143556797103[[#This Row],[total time]]-$U$3)/$U$3)*$T$6,2))))</f>
        <v>92.01</v>
      </c>
      <c r="W18">
        <v>13</v>
      </c>
      <c r="X18">
        <v>118</v>
      </c>
      <c r="Y18" t="s">
        <v>373</v>
      </c>
      <c r="Z18" t="s">
        <v>547</v>
      </c>
      <c r="AA18" t="s">
        <v>554</v>
      </c>
      <c r="AB18">
        <v>2011</v>
      </c>
      <c r="AC18" s="1">
        <v>7.6249999999999994E-4</v>
      </c>
      <c r="AD18" s="1">
        <v>8.3958333333333324E-4</v>
      </c>
      <c r="AE18" s="1">
        <v>1.6020833333333336E-3</v>
      </c>
      <c r="AG18">
        <v>94829</v>
      </c>
      <c r="AH18" s="2">
        <f>_xlfn.LET(_xlpm.x,Table1221101934465870100106[[#This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7.6249999999999994E-4</v>
      </c>
      <c r="AI18" s="3">
        <f>IF(Table1221101934465870100106[[#This Row],[run 1 times]]="",999.99,IF(Table1221101934465870100106[[#This Row],[run 1 times]]=$AO$3,0,MAX(0,ROUND(((Table1221101934465870100106[[#This Row],[run 1 times]]-$AO$3)/$AO$3)*$AO$6,2))))</f>
        <v>171.45</v>
      </c>
      <c r="AJ18" s="2">
        <f>_xlfn.LET(_xlpm.x,Table1221101934465870100106[[#This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8.3958333333333324E-4</v>
      </c>
      <c r="AK18" s="3">
        <f>IF(Table1221101934465870100106[[#This Row],[run2 times]]="",999.99,IF(Table1221101934465870100106[[#This Row],[run2 times]]=$AP$3,0,MAX(0,ROUND(((Table1221101934465870100106[[#This Row],[run2 times]]-$AP$3)/$AP$3)*$AO$6,2))))</f>
        <v>196.1</v>
      </c>
      <c r="AL18" s="2">
        <f>IF(OR(Table1221101934465870100106[[#This Row],[run 1 times]]="",Table1221101934465870100106[[#This Row],[run2 times]]=""),"",Table1221101934465870100106[[#This Row],[run 1 times]]+Table1221101934465870100106[[#This Row],[run2 times]])</f>
        <v>1.6020833333333332E-3</v>
      </c>
      <c r="AM18" s="3">
        <f>IF(Table1221101934465870100106[[#This Row],[total time]]="",999.99,IF(Table1221101934465870100106[[#This Row],[total time]]=$AQ$3,0,MAX(0,ROUND(((Table1221101934465870100106[[#This Row],[total time]]-$AQ$3)/$AQ$3)*$AO$6,2))))</f>
        <v>184.2</v>
      </c>
    </row>
    <row r="19" spans="1:39" x14ac:dyDescent="0.3">
      <c r="A19">
        <v>11</v>
      </c>
      <c r="B19">
        <v>11</v>
      </c>
      <c r="C19" t="s">
        <v>257</v>
      </c>
      <c r="D19" t="s">
        <v>522</v>
      </c>
      <c r="E19" t="s">
        <v>530</v>
      </c>
      <c r="F19">
        <v>2013</v>
      </c>
      <c r="G19" s="5">
        <v>9.6423611111111113E-4</v>
      </c>
      <c r="H19" s="5">
        <v>9.1168981481481472E-4</v>
      </c>
      <c r="I19" s="5">
        <v>1.8759259259259256E-3</v>
      </c>
      <c r="K19">
        <v>112516</v>
      </c>
      <c r="L19" s="2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9.6423611111111113E-4</v>
      </c>
      <c r="M19" s="3">
        <f>IF(Table127163143556797103[[#This Row],[run 1 times]]="",999.99,IF(Table127163143556797103[[#This Row],[run 1 times]]=$S$3,0,MAX(0,ROUND(((Table127163143556797103[[#This Row],[run 1 times]]-$S$3)/$S$3)*$T$6,2))))</f>
        <v>68.62</v>
      </c>
      <c r="N19" s="2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9.1168981481481472E-4</v>
      </c>
      <c r="O19" s="3">
        <f>IF(Table127163143556797103[[#This Row],[run2 times]]="",999.99,IF(Table127163143556797103[[#This Row],[run2 times]]=$T$3,0,MAX(0,ROUND(((Table127163143556797103[[#This Row],[run2 times]]-$T$3)/$T$3)*$T$6,2))))</f>
        <v>111.16</v>
      </c>
      <c r="P19" s="2">
        <f>IF(OR(Table127163143556797103[[#This Row],[run 1 times]]="",Table127163143556797103[[#This Row],[run2 times]]=""),"",Table127163143556797103[[#This Row],[run 1 times]]+Table127163143556797103[[#This Row],[run2 times]])</f>
        <v>1.8759259259259259E-3</v>
      </c>
      <c r="Q19" s="3">
        <f>IF(Table127163143556797103[[#This Row],[total time]]="",999.99,IF(Table127163143556797103[[#This Row],[total time]]=$U$3,0,MAX(0,ROUND(((Table127163143556797103[[#This Row],[total time]]-$U$3)/$U$3)*$T$6,2))))</f>
        <v>52.92</v>
      </c>
      <c r="W19">
        <v>14</v>
      </c>
      <c r="X19">
        <v>119</v>
      </c>
      <c r="Y19" t="s">
        <v>479</v>
      </c>
      <c r="Z19" t="s">
        <v>547</v>
      </c>
      <c r="AA19" t="s">
        <v>549</v>
      </c>
      <c r="AB19">
        <v>2011</v>
      </c>
      <c r="AC19" s="1">
        <v>6.9618055555555557E-4</v>
      </c>
      <c r="AD19" s="1">
        <v>7.4641203703703697E-4</v>
      </c>
      <c r="AE19" s="1">
        <v>1.4425925925925925E-3</v>
      </c>
      <c r="AG19">
        <v>89879</v>
      </c>
      <c r="AH19" s="2">
        <f>_xlfn.LET(_xlpm.x,Table1221101934465870100106[[#This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6.9618055555555557E-4</v>
      </c>
      <c r="AI19" s="3">
        <f>IF(Table1221101934465870100106[[#This Row],[run 1 times]]="",999.99,IF(Table1221101934465870100106[[#This Row],[run 1 times]]=$AO$3,0,MAX(0,ROUND(((Table1221101934465870100106[[#This Row],[run 1 times]]-$AO$3)/$AO$3)*$AO$6,2))))</f>
        <v>93.05</v>
      </c>
      <c r="AJ19" s="2">
        <f>_xlfn.LET(_xlpm.x,Table1221101934465870100106[[#This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7.4641203703703697E-4</v>
      </c>
      <c r="AK19" s="3">
        <f>IF(Table1221101934465870100106[[#This Row],[run2 times]]="",999.99,IF(Table1221101934465870100106[[#This Row],[run2 times]]=$AP$3,0,MAX(0,ROUND(((Table1221101934465870100106[[#This Row],[run2 times]]-$AP$3)/$AP$3)*$AO$6,2))))</f>
        <v>93.32</v>
      </c>
      <c r="AL19" s="2">
        <f>IF(OR(Table1221101934465870100106[[#This Row],[run 1 times]]="",Table1221101934465870100106[[#This Row],[run2 times]]=""),"",Table1221101934465870100106[[#This Row],[run 1 times]]+Table1221101934465870100106[[#This Row],[run2 times]])</f>
        <v>1.4425925925925925E-3</v>
      </c>
      <c r="AM19" s="3">
        <f>IF(Table1221101934465870100106[[#This Row],[total time]]="",999.99,IF(Table1221101934465870100106[[#This Row],[total time]]=$AQ$3,0,MAX(0,ROUND(((Table1221101934465870100106[[#This Row],[total time]]-$AQ$3)/$AQ$3)*$AO$6,2))))</f>
        <v>93.19</v>
      </c>
    </row>
    <row r="20" spans="1:39" x14ac:dyDescent="0.3">
      <c r="A20">
        <v>13</v>
      </c>
      <c r="B20">
        <v>13</v>
      </c>
      <c r="C20" t="s">
        <v>257</v>
      </c>
      <c r="D20" t="s">
        <v>522</v>
      </c>
      <c r="E20" t="s">
        <v>534</v>
      </c>
      <c r="F20">
        <v>2013</v>
      </c>
      <c r="G20" s="5">
        <v>1.031712962962963E-3</v>
      </c>
      <c r="H20" s="5">
        <v>9.739583333333334E-4</v>
      </c>
      <c r="I20" s="5">
        <v>2.0056712962962962E-3</v>
      </c>
      <c r="K20">
        <v>107308</v>
      </c>
      <c r="L20" s="2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1.031712962962963E-3</v>
      </c>
      <c r="M20" s="3">
        <f>IF(Table127163143556797103[[#This Row],[run 1 times]]="",999.99,IF(Table127163143556797103[[#This Row],[run 1 times]]=$S$3,0,MAX(0,ROUND(((Table127163143556797103[[#This Row],[run 1 times]]-$S$3)/$S$3)*$T$6,2))))</f>
        <v>144.1</v>
      </c>
      <c r="N20" s="2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9.739583333333334E-4</v>
      </c>
      <c r="O20" s="3">
        <f>IF(Table127163143556797103[[#This Row],[run2 times]]="",999.99,IF(Table127163143556797103[[#This Row],[run2 times]]=$T$3,0,MAX(0,ROUND(((Table127163143556797103[[#This Row],[run2 times]]-$T$3)/$T$3)*$T$6,2))))</f>
        <v>187.74</v>
      </c>
      <c r="P20" s="2">
        <f>IF(OR(Table127163143556797103[[#This Row],[run 1 times]]="",Table127163143556797103[[#This Row],[run2 times]]=""),"",Table127163143556797103[[#This Row],[run 1 times]]+Table127163143556797103[[#This Row],[run2 times]])</f>
        <v>2.0056712962962962E-3</v>
      </c>
      <c r="Q20" s="3">
        <f>IF(Table127163143556797103[[#This Row],[total time]]="",999.99,IF(Table127163143556797103[[#This Row],[total time]]=$U$3,0,MAX(0,ROUND(((Table127163143556797103[[#This Row],[total time]]-$U$3)/$U$3)*$T$6,2))))</f>
        <v>126.44</v>
      </c>
      <c r="W20">
        <v>15</v>
      </c>
      <c r="X20">
        <v>120</v>
      </c>
      <c r="Y20" t="s">
        <v>24</v>
      </c>
      <c r="Z20" t="s">
        <v>547</v>
      </c>
      <c r="AA20" t="s">
        <v>835</v>
      </c>
      <c r="AB20">
        <v>2011</v>
      </c>
      <c r="AC20" s="1">
        <v>7.5266203703703704E-4</v>
      </c>
      <c r="AD20" s="1">
        <v>8.143518518518518E-4</v>
      </c>
      <c r="AE20" s="1">
        <v>1.5670138888888886E-3</v>
      </c>
      <c r="AG20">
        <v>88934</v>
      </c>
      <c r="AH20" s="2">
        <f>_xlfn.LET(_xlpm.x,Table1221101934465870100106[[#This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7.5266203703703704E-4</v>
      </c>
      <c r="AI20" s="3">
        <f>IF(Table1221101934465870100106[[#This Row],[run 1 times]]="",999.99,IF(Table1221101934465870100106[[#This Row],[run 1 times]]=$AO$3,0,MAX(0,ROUND(((Table1221101934465870100106[[#This Row],[run 1 times]]-$AO$3)/$AO$3)*$AO$6,2))))</f>
        <v>159.82</v>
      </c>
      <c r="AJ20" s="2">
        <f>_xlfn.LET(_xlpm.x,Table1221101934465870100106[[#This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8.143518518518518E-4</v>
      </c>
      <c r="AK20" s="3">
        <f>IF(Table1221101934465870100106[[#This Row],[run2 times]]="",999.99,IF(Table1221101934465870100106[[#This Row],[run2 times]]=$AP$3,0,MAX(0,ROUND(((Table1221101934465870100106[[#This Row],[run2 times]]-$AP$3)/$AP$3)*$AO$6,2))))</f>
        <v>168.27</v>
      </c>
      <c r="AL20" s="2">
        <f>IF(OR(Table1221101934465870100106[[#This Row],[run 1 times]]="",Table1221101934465870100106[[#This Row],[run2 times]]=""),"",Table1221101934465870100106[[#This Row],[run 1 times]]+Table1221101934465870100106[[#This Row],[run2 times]])</f>
        <v>1.5670138888888888E-3</v>
      </c>
      <c r="AM20" s="3">
        <f>IF(Table1221101934465870100106[[#This Row],[total time]]="",999.99,IF(Table1221101934465870100106[[#This Row],[total time]]=$AQ$3,0,MAX(0,ROUND(((Table1221101934465870100106[[#This Row],[total time]]-$AQ$3)/$AQ$3)*$AO$6,2))))</f>
        <v>164.19</v>
      </c>
    </row>
    <row r="21" spans="1:39" x14ac:dyDescent="0.3">
      <c r="A21">
        <v>14</v>
      </c>
      <c r="B21">
        <v>14</v>
      </c>
      <c r="C21" t="s">
        <v>257</v>
      </c>
      <c r="D21" t="s">
        <v>522</v>
      </c>
      <c r="E21" t="s">
        <v>532</v>
      </c>
      <c r="F21">
        <v>2013</v>
      </c>
      <c r="G21" s="5">
        <v>9.3460648148148146E-4</v>
      </c>
      <c r="H21" s="5">
        <v>9.0011574074074072E-4</v>
      </c>
      <c r="I21" s="5">
        <v>1.8347222222222224E-3</v>
      </c>
      <c r="K21">
        <v>117693</v>
      </c>
      <c r="L21" s="2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9.3460648148148146E-4</v>
      </c>
      <c r="M21" s="3">
        <f>IF(Table127163143556797103[[#This Row],[run 1 times]]="",999.99,IF(Table127163143556797103[[#This Row],[run 1 times]]=$S$3,0,MAX(0,ROUND(((Table127163143556797103[[#This Row],[run 1 times]]-$S$3)/$S$3)*$T$6,2))))</f>
        <v>35.47</v>
      </c>
      <c r="N21" s="2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9.0011574074074072E-4</v>
      </c>
      <c r="O21" s="3">
        <f>IF(Table127163143556797103[[#This Row],[run2 times]]="",999.99,IF(Table127163143556797103[[#This Row],[run2 times]]=$T$3,0,MAX(0,ROUND(((Table127163143556797103[[#This Row],[run2 times]]-$T$3)/$T$3)*$T$6,2))))</f>
        <v>96.93</v>
      </c>
      <c r="P21" s="2">
        <f>IF(OR(Table127163143556797103[[#This Row],[run 1 times]]="",Table127163143556797103[[#This Row],[run2 times]]=""),"",Table127163143556797103[[#This Row],[run 1 times]]+Table127163143556797103[[#This Row],[run2 times]])</f>
        <v>1.8347222222222222E-3</v>
      </c>
      <c r="Q21" s="3">
        <f>IF(Table127163143556797103[[#This Row],[total time]]="",999.99,IF(Table127163143556797103[[#This Row],[total time]]=$U$3,0,MAX(0,ROUND(((Table127163143556797103[[#This Row],[total time]]-$U$3)/$U$3)*$T$6,2))))</f>
        <v>29.58</v>
      </c>
      <c r="W21">
        <v>16</v>
      </c>
      <c r="X21">
        <v>121</v>
      </c>
      <c r="Y21" t="s">
        <v>24</v>
      </c>
      <c r="Z21" t="s">
        <v>547</v>
      </c>
      <c r="AA21" t="s">
        <v>562</v>
      </c>
      <c r="AB21">
        <v>2011</v>
      </c>
      <c r="AC21" s="1">
        <v>7.6168981481481487E-4</v>
      </c>
      <c r="AD21" s="1">
        <v>8.0335648148148139E-4</v>
      </c>
      <c r="AE21" s="1">
        <v>1.5650462962962964E-3</v>
      </c>
      <c r="AG21">
        <v>104665</v>
      </c>
      <c r="AH21" s="2">
        <f>_xlfn.LET(_xlpm.x,Table1221101934465870100106[[#This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7.6168981481481487E-4</v>
      </c>
      <c r="AI21" s="3">
        <f>IF(Table1221101934465870100106[[#This Row],[run 1 times]]="",999.99,IF(Table1221101934465870100106[[#This Row],[run 1 times]]=$AO$3,0,MAX(0,ROUND(((Table1221101934465870100106[[#This Row],[run 1 times]]-$AO$3)/$AO$3)*$AO$6,2))))</f>
        <v>170.49</v>
      </c>
      <c r="AJ21" s="2">
        <f>_xlfn.LET(_xlpm.x,Table1221101934465870100106[[#This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8.0335648148148139E-4</v>
      </c>
      <c r="AK21" s="3">
        <f>IF(Table1221101934465870100106[[#This Row],[run2 times]]="",999.99,IF(Table1221101934465870100106[[#This Row],[run2 times]]=$AP$3,0,MAX(0,ROUND(((Table1221101934465870100106[[#This Row],[run2 times]]-$AP$3)/$AP$3)*$AO$6,2))))</f>
        <v>156.13999999999999</v>
      </c>
      <c r="AL21" s="2">
        <f>IF(OR(Table1221101934465870100106[[#This Row],[run 1 times]]="",Table1221101934465870100106[[#This Row],[run2 times]]=""),"",Table1221101934465870100106[[#This Row],[run 1 times]]+Table1221101934465870100106[[#This Row],[run2 times]])</f>
        <v>1.5650462962962962E-3</v>
      </c>
      <c r="AM21" s="3">
        <f>IF(Table1221101934465870100106[[#This Row],[total time]]="",999.99,IF(Table1221101934465870100106[[#This Row],[total time]]=$AQ$3,0,MAX(0,ROUND(((Table1221101934465870100106[[#This Row],[total time]]-$AQ$3)/$AQ$3)*$AO$6,2))))</f>
        <v>163.07</v>
      </c>
    </row>
    <row r="22" spans="1:39" x14ac:dyDescent="0.3">
      <c r="A22">
        <v>16</v>
      </c>
      <c r="B22">
        <v>16</v>
      </c>
      <c r="C22" t="s">
        <v>479</v>
      </c>
      <c r="D22" t="s">
        <v>522</v>
      </c>
      <c r="E22" t="s">
        <v>545</v>
      </c>
      <c r="F22">
        <v>2013</v>
      </c>
      <c r="G22" s="5">
        <v>9.9571759259259253E-4</v>
      </c>
      <c r="H22" s="5">
        <v>9.9409722222222217E-4</v>
      </c>
      <c r="I22" s="5">
        <v>1.9898148148148149E-3</v>
      </c>
      <c r="K22">
        <v>103279</v>
      </c>
      <c r="L22" s="2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9.9571759259259253E-4</v>
      </c>
      <c r="M22" s="3">
        <f>IF(Table127163143556797103[[#This Row],[run 1 times]]="",999.99,IF(Table127163143556797103[[#This Row],[run 1 times]]=$S$3,0,MAX(0,ROUND(((Table127163143556797103[[#This Row],[run 1 times]]-$S$3)/$S$3)*$T$6,2))))</f>
        <v>103.84</v>
      </c>
      <c r="N22" s="2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9.9409722222222217E-4</v>
      </c>
      <c r="O22" s="3">
        <f>IF(Table127163143556797103[[#This Row],[run2 times]]="",999.99,IF(Table127163143556797103[[#This Row],[run2 times]]=$T$3,0,MAX(0,ROUND(((Table127163143556797103[[#This Row],[run2 times]]-$T$3)/$T$3)*$T$6,2))))</f>
        <v>212.5</v>
      </c>
      <c r="P22" s="2">
        <f>IF(OR(Table127163143556797103[[#This Row],[run 1 times]]="",Table127163143556797103[[#This Row],[run2 times]]=""),"",Table127163143556797103[[#This Row],[run 1 times]]+Table127163143556797103[[#This Row],[run2 times]])</f>
        <v>1.9898148148148149E-3</v>
      </c>
      <c r="Q22" s="3">
        <f>IF(Table127163143556797103[[#This Row],[total time]]="",999.99,IF(Table127163143556797103[[#This Row],[total time]]=$U$3,0,MAX(0,ROUND(((Table127163143556797103[[#This Row],[total time]]-$U$3)/$U$3)*$T$6,2))))</f>
        <v>117.45</v>
      </c>
      <c r="W22">
        <v>17</v>
      </c>
      <c r="X22">
        <v>122</v>
      </c>
      <c r="Y22" t="s">
        <v>223</v>
      </c>
      <c r="Z22" t="s">
        <v>547</v>
      </c>
      <c r="AA22" t="s">
        <v>580</v>
      </c>
      <c r="AB22">
        <v>2011</v>
      </c>
      <c r="AC22" s="1">
        <v>8.0590277777777767E-4</v>
      </c>
      <c r="AD22" s="1">
        <v>8.3726851851851855E-4</v>
      </c>
      <c r="AE22" s="1">
        <v>1.6431712962962962E-3</v>
      </c>
      <c r="AG22">
        <v>94556</v>
      </c>
      <c r="AH22" s="2">
        <f>_xlfn.LET(_xlpm.x,Table1221101934465870100106[[#This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8.0590277777777767E-4</v>
      </c>
      <c r="AI22" s="3">
        <f>IF(Table1221101934465870100106[[#This Row],[run 1 times]]="",999.99,IF(Table1221101934465870100106[[#This Row],[run 1 times]]=$AO$3,0,MAX(0,ROUND(((Table1221101934465870100106[[#This Row],[run 1 times]]-$AO$3)/$AO$3)*$AO$6,2))))</f>
        <v>222.76</v>
      </c>
      <c r="AJ22" s="2">
        <f>_xlfn.LET(_xlpm.x,Table1221101934465870100106[[#This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8.3726851851851855E-4</v>
      </c>
      <c r="AK22" s="3">
        <f>IF(Table1221101934465870100106[[#This Row],[run2 times]]="",999.99,IF(Table1221101934465870100106[[#This Row],[run2 times]]=$AP$3,0,MAX(0,ROUND(((Table1221101934465870100106[[#This Row],[run2 times]]-$AP$3)/$AP$3)*$AO$6,2))))</f>
        <v>193.54</v>
      </c>
      <c r="AL22" s="2">
        <f>IF(OR(Table1221101934465870100106[[#This Row],[run 1 times]]="",Table1221101934465870100106[[#This Row],[run2 times]]=""),"",Table1221101934465870100106[[#This Row],[run 1 times]]+Table1221101934465870100106[[#This Row],[run2 times]])</f>
        <v>1.6431712962962962E-3</v>
      </c>
      <c r="AM22" s="3">
        <f>IF(Table1221101934465870100106[[#This Row],[total time]]="",999.99,IF(Table1221101934465870100106[[#This Row],[total time]]=$AQ$3,0,MAX(0,ROUND(((Table1221101934465870100106[[#This Row],[total time]]-$AQ$3)/$AQ$3)*$AO$6,2))))</f>
        <v>207.65</v>
      </c>
    </row>
    <row r="23" spans="1:39" x14ac:dyDescent="0.3">
      <c r="A23">
        <v>17</v>
      </c>
      <c r="B23">
        <v>17</v>
      </c>
      <c r="C23" t="s">
        <v>487</v>
      </c>
      <c r="D23" t="s">
        <v>522</v>
      </c>
      <c r="E23" t="s">
        <v>857</v>
      </c>
      <c r="F23">
        <v>2013</v>
      </c>
      <c r="G23" s="5">
        <v>9.9780092592592607E-4</v>
      </c>
      <c r="H23" s="5">
        <v>9.167824074074075E-4</v>
      </c>
      <c r="I23" s="5">
        <v>1.9145833333333335E-3</v>
      </c>
      <c r="K23">
        <v>10426</v>
      </c>
      <c r="L23" s="2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9.9780092592592607E-4</v>
      </c>
      <c r="M23" s="3">
        <f>IF(Table127163143556797103[[#This Row],[run 1 times]]="",999.99,IF(Table127163143556797103[[#This Row],[run 1 times]]=$S$3,0,MAX(0,ROUND(((Table127163143556797103[[#This Row],[run 1 times]]-$S$3)/$S$3)*$T$6,2))))</f>
        <v>106.17</v>
      </c>
      <c r="N23" s="2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9.167824074074075E-4</v>
      </c>
      <c r="O23" s="3">
        <f>IF(Table127163143556797103[[#This Row],[run2 times]]="",999.99,IF(Table127163143556797103[[#This Row],[run2 times]]=$T$3,0,MAX(0,ROUND(((Table127163143556797103[[#This Row],[run2 times]]-$T$3)/$T$3)*$T$6,2))))</f>
        <v>117.43</v>
      </c>
      <c r="P23" s="2">
        <f>IF(OR(Table127163143556797103[[#This Row],[run 1 times]]="",Table127163143556797103[[#This Row],[run2 times]]=""),"",Table127163143556797103[[#This Row],[run 1 times]]+Table127163143556797103[[#This Row],[run2 times]])</f>
        <v>1.9145833333333337E-3</v>
      </c>
      <c r="Q23" s="3">
        <f>IF(Table127163143556797103[[#This Row],[total time]]="",999.99,IF(Table127163143556797103[[#This Row],[total time]]=$U$3,0,MAX(0,ROUND(((Table127163143556797103[[#This Row],[total time]]-$U$3)/$U$3)*$T$6,2))))</f>
        <v>74.83</v>
      </c>
      <c r="W23">
        <v>19</v>
      </c>
      <c r="X23">
        <v>124</v>
      </c>
      <c r="Y23" t="s">
        <v>479</v>
      </c>
      <c r="Z23" t="s">
        <v>547</v>
      </c>
      <c r="AA23" t="s">
        <v>566</v>
      </c>
      <c r="AB23">
        <v>2010</v>
      </c>
      <c r="AC23" s="1">
        <v>7.2141203703703701E-4</v>
      </c>
      <c r="AD23" s="1">
        <v>7.6261574074074079E-4</v>
      </c>
      <c r="AE23" s="1">
        <v>1.4840277777777777E-3</v>
      </c>
      <c r="AG23">
        <v>89868</v>
      </c>
      <c r="AH23" s="2">
        <f>_xlfn.LET(_xlpm.x,Table1221101934465870100106[[#This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7.2141203703703701E-4</v>
      </c>
      <c r="AI23" s="3">
        <f>IF(Table1221101934465870100106[[#This Row],[run 1 times]]="",999.99,IF(Table1221101934465870100106[[#This Row],[run 1 times]]=$AO$3,0,MAX(0,ROUND(((Table1221101934465870100106[[#This Row],[run 1 times]]-$AO$3)/$AO$3)*$AO$6,2))))</f>
        <v>122.88</v>
      </c>
      <c r="AJ23" s="2">
        <f>_xlfn.LET(_xlpm.x,Table1221101934465870100106[[#This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7.6261574074074079E-4</v>
      </c>
      <c r="AK23" s="3">
        <f>IF(Table1221101934465870100106[[#This Row],[run2 times]]="",999.99,IF(Table1221101934465870100106[[#This Row],[run2 times]]=$AP$3,0,MAX(0,ROUND(((Table1221101934465870100106[[#This Row],[run2 times]]-$AP$3)/$AP$3)*$AO$6,2))))</f>
        <v>111.2</v>
      </c>
      <c r="AL23" s="2">
        <f>IF(OR(Table1221101934465870100106[[#This Row],[run 1 times]]="",Table1221101934465870100106[[#This Row],[run2 times]]=""),"",Table1221101934465870100106[[#This Row],[run 1 times]]+Table1221101934465870100106[[#This Row],[run2 times]])</f>
        <v>1.4840277777777777E-3</v>
      </c>
      <c r="AM23" s="3">
        <f>IF(Table1221101934465870100106[[#This Row],[total time]]="",999.99,IF(Table1221101934465870100106[[#This Row],[total time]]=$AQ$3,0,MAX(0,ROUND(((Table1221101934465870100106[[#This Row],[total time]]-$AQ$3)/$AQ$3)*$AO$6,2))))</f>
        <v>116.83</v>
      </c>
    </row>
    <row r="24" spans="1:39" x14ac:dyDescent="0.3">
      <c r="A24">
        <v>18</v>
      </c>
      <c r="B24">
        <v>18</v>
      </c>
      <c r="C24" t="s">
        <v>479</v>
      </c>
      <c r="D24" t="s">
        <v>522</v>
      </c>
      <c r="E24" t="s">
        <v>858</v>
      </c>
      <c r="F24">
        <v>2012</v>
      </c>
      <c r="G24" s="5">
        <v>1.0393518518518519E-3</v>
      </c>
      <c r="H24" s="5">
        <v>9.6886574074074084E-4</v>
      </c>
      <c r="I24" s="5">
        <v>2.0082175925925927E-3</v>
      </c>
      <c r="K24">
        <v>124918</v>
      </c>
      <c r="L24" s="2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1.0393518518518519E-3</v>
      </c>
      <c r="M24" s="3">
        <f>IF(Table127163143556797103[[#This Row],[run 1 times]]="",999.99,IF(Table127163143556797103[[#This Row],[run 1 times]]=$S$3,0,MAX(0,ROUND(((Table127163143556797103[[#This Row],[run 1 times]]-$S$3)/$S$3)*$T$6,2))))</f>
        <v>152.65</v>
      </c>
      <c r="N24" s="2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9.6886574074074084E-4</v>
      </c>
      <c r="O24" s="3">
        <f>IF(Table127163143556797103[[#This Row],[run2 times]]="",999.99,IF(Table127163143556797103[[#This Row],[run2 times]]=$T$3,0,MAX(0,ROUND(((Table127163143556797103[[#This Row],[run2 times]]-$T$3)/$T$3)*$T$6,2))))</f>
        <v>181.48</v>
      </c>
      <c r="P24" s="2">
        <f>IF(OR(Table127163143556797103[[#This Row],[run 1 times]]="",Table127163143556797103[[#This Row],[run2 times]]=""),"",Table127163143556797103[[#This Row],[run 1 times]]+Table127163143556797103[[#This Row],[run2 times]])</f>
        <v>2.0082175925925927E-3</v>
      </c>
      <c r="Q24" s="3">
        <f>IF(Table127163143556797103[[#This Row],[total time]]="",999.99,IF(Table127163143556797103[[#This Row],[total time]]=$U$3,0,MAX(0,ROUND(((Table127163143556797103[[#This Row],[total time]]-$U$3)/$U$3)*$T$6,2))))</f>
        <v>127.88</v>
      </c>
      <c r="W24">
        <v>20</v>
      </c>
      <c r="X24">
        <v>125</v>
      </c>
      <c r="Y24" t="s">
        <v>479</v>
      </c>
      <c r="Z24" t="s">
        <v>547</v>
      </c>
      <c r="AA24" t="s">
        <v>555</v>
      </c>
      <c r="AB24">
        <v>2011</v>
      </c>
      <c r="AC24" s="1">
        <v>53.35</v>
      </c>
      <c r="AD24" s="1">
        <v>57.18</v>
      </c>
      <c r="AE24" s="1">
        <v>1.2792824074074074E-3</v>
      </c>
      <c r="AG24">
        <v>94624</v>
      </c>
      <c r="AH24" s="2">
        <f>_xlfn.LET(_xlpm.x,Table1221101934465870100106[[#This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6.1747685185185191E-4</v>
      </c>
      <c r="AI24" s="3">
        <f>IF(Table1221101934465870100106[[#This Row],[run 1 times]]="",999.99,IF(Table1221101934465870100106[[#This Row],[run 1 times]]=$AO$3,0,MAX(0,ROUND(((Table1221101934465870100106[[#This Row],[run 1 times]]-$AO$3)/$AO$3)*$AO$6,2))))</f>
        <v>0</v>
      </c>
      <c r="AJ24" s="2">
        <f>_xlfn.LET(_xlpm.x,Table1221101934465870100106[[#This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6.6180555555555556E-4</v>
      </c>
      <c r="AK24" s="3">
        <f>IF(Table1221101934465870100106[[#This Row],[run2 times]]="",999.99,IF(Table1221101934465870100106[[#This Row],[run2 times]]=$AP$3,0,MAX(0,ROUND(((Table1221101934465870100106[[#This Row],[run2 times]]-$AP$3)/$AP$3)*$AO$6,2))))</f>
        <v>0</v>
      </c>
      <c r="AL24" s="2">
        <f>IF(OR(Table1221101934465870100106[[#This Row],[run 1 times]]="",Table1221101934465870100106[[#This Row],[run2 times]]=""),"",Table1221101934465870100106[[#This Row],[run 1 times]]+Table1221101934465870100106[[#This Row],[run2 times]])</f>
        <v>1.2792824074074074E-3</v>
      </c>
      <c r="AM24" s="3">
        <f>IF(Table1221101934465870100106[[#This Row],[total time]]="",999.99,IF(Table1221101934465870100106[[#This Row],[total time]]=$AQ$3,0,MAX(0,ROUND(((Table1221101934465870100106[[#This Row],[total time]]-$AQ$3)/$AQ$3)*$AO$6,2))))</f>
        <v>0</v>
      </c>
    </row>
    <row r="25" spans="1:39" x14ac:dyDescent="0.3">
      <c r="A25">
        <v>19</v>
      </c>
      <c r="B25">
        <v>19</v>
      </c>
      <c r="C25" t="s">
        <v>487</v>
      </c>
      <c r="D25" t="s">
        <v>522</v>
      </c>
      <c r="E25" t="s">
        <v>859</v>
      </c>
      <c r="F25">
        <v>2013</v>
      </c>
      <c r="G25" t="s">
        <v>512</v>
      </c>
      <c r="H25" s="5">
        <v>1.039699074074074E-3</v>
      </c>
      <c r="K25">
        <v>108267</v>
      </c>
      <c r="L25" s="2" t="str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25" s="3">
        <f>IF(Table127163143556797103[[#This Row],[run 1 times]]="",999.99,IF(Table127163143556797103[[#This Row],[run 1 times]]=$S$3,0,MAX(0,ROUND(((Table127163143556797103[[#This Row],[run 1 times]]-$S$3)/$S$3)*$T$6,2))))</f>
        <v>999.99</v>
      </c>
      <c r="N25" s="2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1.039699074074074E-3</v>
      </c>
      <c r="O25" s="3">
        <f>IF(Table127163143556797103[[#This Row],[run2 times]]="",999.99,IF(Table127163143556797103[[#This Row],[run2 times]]=$T$3,0,MAX(0,ROUND(((Table127163143556797103[[#This Row],[run2 times]]-$T$3)/$T$3)*$T$6,2))))</f>
        <v>268.58</v>
      </c>
      <c r="P25" s="2" t="str">
        <f>IF(OR(Table127163143556797103[[#This Row],[run 1 times]]="",Table127163143556797103[[#This Row],[run2 times]]=""),"",Table127163143556797103[[#This Row],[run 1 times]]+Table127163143556797103[[#This Row],[run2 times]])</f>
        <v/>
      </c>
      <c r="Q25" s="3">
        <f>IF(Table127163143556797103[[#This Row],[total time]]="",999.99,IF(Table127163143556797103[[#This Row],[total time]]=$U$3,0,MAX(0,ROUND(((Table127163143556797103[[#This Row],[total time]]-$U$3)/$U$3)*$T$6,2))))</f>
        <v>999.99</v>
      </c>
      <c r="W25">
        <v>22</v>
      </c>
      <c r="X25">
        <v>127</v>
      </c>
      <c r="Y25" t="s">
        <v>257</v>
      </c>
      <c r="Z25" t="s">
        <v>547</v>
      </c>
      <c r="AA25" t="s">
        <v>571</v>
      </c>
      <c r="AB25">
        <v>2010</v>
      </c>
      <c r="AC25" s="1">
        <v>7.1574074074074075E-4</v>
      </c>
      <c r="AD25" s="1">
        <v>7.7685185185185192E-4</v>
      </c>
      <c r="AE25" s="1">
        <v>1.4925925925925927E-3</v>
      </c>
      <c r="AG25">
        <v>92167</v>
      </c>
      <c r="AH25" s="2">
        <f>_xlfn.LET(_xlpm.x,Table1221101934465870100106[[#This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7.1574074074074075E-4</v>
      </c>
      <c r="AI25" s="3">
        <f>IF(Table1221101934465870100106[[#This Row],[run 1 times]]="",999.99,IF(Table1221101934465870100106[[#This Row],[run 1 times]]=$AO$3,0,MAX(0,ROUND(((Table1221101934465870100106[[#This Row],[run 1 times]]-$AO$3)/$AO$3)*$AO$6,2))))</f>
        <v>116.17</v>
      </c>
      <c r="AJ25" s="2">
        <f>_xlfn.LET(_xlpm.x,Table1221101934465870100106[[#This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7.7685185185185192E-4</v>
      </c>
      <c r="AK25" s="3">
        <f>IF(Table1221101934465870100106[[#This Row],[run2 times]]="",999.99,IF(Table1221101934465870100106[[#This Row],[run2 times]]=$AP$3,0,MAX(0,ROUND(((Table1221101934465870100106[[#This Row],[run2 times]]-$AP$3)/$AP$3)*$AO$6,2))))</f>
        <v>126.9</v>
      </c>
      <c r="AL25" s="2">
        <f>IF(OR(Table1221101934465870100106[[#This Row],[run 1 times]]="",Table1221101934465870100106[[#This Row],[run2 times]]=""),"",Table1221101934465870100106[[#This Row],[run 1 times]]+Table1221101934465870100106[[#This Row],[run2 times]])</f>
        <v>1.4925925925925927E-3</v>
      </c>
      <c r="AM25" s="3">
        <f>IF(Table1221101934465870100106[[#This Row],[total time]]="",999.99,IF(Table1221101934465870100106[[#This Row],[total time]]=$AQ$3,0,MAX(0,ROUND(((Table1221101934465870100106[[#This Row],[total time]]-$AQ$3)/$AQ$3)*$AO$6,2))))</f>
        <v>121.72</v>
      </c>
    </row>
    <row r="26" spans="1:39" x14ac:dyDescent="0.3">
      <c r="A26">
        <v>21</v>
      </c>
      <c r="B26">
        <v>21</v>
      </c>
      <c r="C26" t="s">
        <v>257</v>
      </c>
      <c r="D26" t="s">
        <v>522</v>
      </c>
      <c r="E26" t="s">
        <v>535</v>
      </c>
      <c r="F26">
        <v>2012</v>
      </c>
      <c r="G26" s="5">
        <v>1.136689814814815E-3</v>
      </c>
      <c r="H26" s="5">
        <v>1.0284722222222223E-3</v>
      </c>
      <c r="I26" s="5">
        <v>2.1651620370370371E-3</v>
      </c>
      <c r="K26">
        <v>117000</v>
      </c>
      <c r="L26" s="2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1.136689814814815E-3</v>
      </c>
      <c r="M26" s="3">
        <f>IF(Table127163143556797103[[#This Row],[run 1 times]]="",999.99,IF(Table127163143556797103[[#This Row],[run 1 times]]=$S$3,0,MAX(0,ROUND(((Table127163143556797103[[#This Row],[run 1 times]]-$S$3)/$S$3)*$T$6,2))))</f>
        <v>261.52999999999997</v>
      </c>
      <c r="N26" s="2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1.0284722222222223E-3</v>
      </c>
      <c r="O26" s="3">
        <f>IF(Table127163143556797103[[#This Row],[run2 times]]="",999.99,IF(Table127163143556797103[[#This Row],[run2 times]]=$T$3,0,MAX(0,ROUND(((Table127163143556797103[[#This Row],[run2 times]]-$T$3)/$T$3)*$T$6,2))))</f>
        <v>254.78</v>
      </c>
      <c r="P26" s="2">
        <f>IF(OR(Table127163143556797103[[#This Row],[run 1 times]]="",Table127163143556797103[[#This Row],[run2 times]]=""),"",Table127163143556797103[[#This Row],[run 1 times]]+Table127163143556797103[[#This Row],[run2 times]])</f>
        <v>2.1651620370370375E-3</v>
      </c>
      <c r="Q26" s="3">
        <f>IF(Table127163143556797103[[#This Row],[total time]]="",999.99,IF(Table127163143556797103[[#This Row],[total time]]=$U$3,0,MAX(0,ROUND(((Table127163143556797103[[#This Row],[total time]]-$U$3)/$U$3)*$T$6,2))))</f>
        <v>216.81</v>
      </c>
      <c r="W26">
        <v>25</v>
      </c>
      <c r="X26">
        <v>130</v>
      </c>
      <c r="Y26" t="s">
        <v>487</v>
      </c>
      <c r="Z26" t="s">
        <v>547</v>
      </c>
      <c r="AA26" t="s">
        <v>833</v>
      </c>
      <c r="AB26">
        <v>2011</v>
      </c>
      <c r="AC26" s="1">
        <v>6.9571759259259261E-4</v>
      </c>
      <c r="AD26" s="1">
        <v>7.349537037037037E-4</v>
      </c>
      <c r="AE26" s="1">
        <v>1.4306712962962962E-3</v>
      </c>
      <c r="AG26">
        <v>94578</v>
      </c>
      <c r="AH26" s="2">
        <f>_xlfn.LET(_xlpm.x,Table1221101934465870100106[[#This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6.9571759259259261E-4</v>
      </c>
      <c r="AI26" s="3">
        <f>IF(Table1221101934465870100106[[#This Row],[run 1 times]]="",999.99,IF(Table1221101934465870100106[[#This Row],[run 1 times]]=$AO$3,0,MAX(0,ROUND(((Table1221101934465870100106[[#This Row],[run 1 times]]-$AO$3)/$AO$3)*$AO$6,2))))</f>
        <v>92.5</v>
      </c>
      <c r="AJ26" s="2">
        <f>_xlfn.LET(_xlpm.x,Table1221101934465870100106[[#This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7.349537037037037E-4</v>
      </c>
      <c r="AK26" s="3">
        <f>IF(Table1221101934465870100106[[#This Row],[run2 times]]="",999.99,IF(Table1221101934465870100106[[#This Row],[run2 times]]=$AP$3,0,MAX(0,ROUND(((Table1221101934465870100106[[#This Row],[run2 times]]-$AP$3)/$AP$3)*$AO$6,2))))</f>
        <v>80.69</v>
      </c>
      <c r="AL26" s="2">
        <f>IF(OR(Table1221101934465870100106[[#This Row],[run 1 times]]="",Table1221101934465870100106[[#This Row],[run2 times]]=""),"",Table1221101934465870100106[[#This Row],[run 1 times]]+Table1221101934465870100106[[#This Row],[run2 times]])</f>
        <v>1.4306712962962962E-3</v>
      </c>
      <c r="AM26" s="3">
        <f>IF(Table1221101934465870100106[[#This Row],[total time]]="",999.99,IF(Table1221101934465870100106[[#This Row],[total time]]=$AQ$3,0,MAX(0,ROUND(((Table1221101934465870100106[[#This Row],[total time]]-$AQ$3)/$AQ$3)*$AO$6,2))))</f>
        <v>86.39</v>
      </c>
    </row>
    <row r="27" spans="1:39" x14ac:dyDescent="0.3">
      <c r="A27">
        <v>22</v>
      </c>
      <c r="B27">
        <v>22</v>
      </c>
      <c r="C27" t="s">
        <v>257</v>
      </c>
      <c r="D27" t="s">
        <v>522</v>
      </c>
      <c r="E27" t="s">
        <v>526</v>
      </c>
      <c r="F27">
        <v>2012</v>
      </c>
      <c r="G27" s="5">
        <v>9.5543981481481478E-4</v>
      </c>
      <c r="H27" s="5">
        <v>9.2013888888888885E-4</v>
      </c>
      <c r="I27" s="5">
        <v>1.8755787037037037E-3</v>
      </c>
      <c r="K27">
        <v>107311</v>
      </c>
      <c r="L27" s="2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9.5543981481481478E-4</v>
      </c>
      <c r="M27" s="3">
        <f>IF(Table127163143556797103[[#This Row],[run 1 times]]="",999.99,IF(Table127163143556797103[[#This Row],[run 1 times]]=$S$3,0,MAX(0,ROUND(((Table127163143556797103[[#This Row],[run 1 times]]-$S$3)/$S$3)*$T$6,2))))</f>
        <v>58.78</v>
      </c>
      <c r="N27" s="2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9.2013888888888885E-4</v>
      </c>
      <c r="O27" s="3">
        <f>IF(Table127163143556797103[[#This Row],[run2 times]]="",999.99,IF(Table127163143556797103[[#This Row],[run2 times]]=$T$3,0,MAX(0,ROUND(((Table127163143556797103[[#This Row],[run2 times]]-$T$3)/$T$3)*$T$6,2))))</f>
        <v>121.55</v>
      </c>
      <c r="P27" s="2">
        <f>IF(OR(Table127163143556797103[[#This Row],[run 1 times]]="",Table127163143556797103[[#This Row],[run2 times]]=""),"",Table127163143556797103[[#This Row],[run 1 times]]+Table127163143556797103[[#This Row],[run2 times]])</f>
        <v>1.8755787037037035E-3</v>
      </c>
      <c r="Q27" s="3">
        <f>IF(Table127163143556797103[[#This Row],[total time]]="",999.99,IF(Table127163143556797103[[#This Row],[total time]]=$U$3,0,MAX(0,ROUND(((Table127163143556797103[[#This Row],[total time]]-$U$3)/$U$3)*$T$6,2))))</f>
        <v>52.73</v>
      </c>
      <c r="W27">
        <v>26</v>
      </c>
      <c r="X27">
        <v>131</v>
      </c>
      <c r="Y27" t="s">
        <v>479</v>
      </c>
      <c r="Z27" t="s">
        <v>547</v>
      </c>
      <c r="AA27" t="s">
        <v>563</v>
      </c>
      <c r="AB27">
        <v>2010</v>
      </c>
      <c r="AC27" s="1">
        <v>7.8784722222222212E-4</v>
      </c>
      <c r="AD27" s="1">
        <v>8.7175925925925919E-4</v>
      </c>
      <c r="AE27" s="1">
        <v>1.6596064814814813E-3</v>
      </c>
      <c r="AG27">
        <v>102356</v>
      </c>
      <c r="AH27" s="2">
        <f>_xlfn.LET(_xlpm.x,Table1221101934465870100106[[#This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7.8784722222222212E-4</v>
      </c>
      <c r="AI27" s="3">
        <f>IF(Table1221101934465870100106[[#This Row],[run 1 times]]="",999.99,IF(Table1221101934465870100106[[#This Row],[run 1 times]]=$AO$3,0,MAX(0,ROUND(((Table1221101934465870100106[[#This Row],[run 1 times]]-$AO$3)/$AO$3)*$AO$6,2))))</f>
        <v>201.42</v>
      </c>
      <c r="AJ27" s="2">
        <f>_xlfn.LET(_xlpm.x,Table1221101934465870100106[[#This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8.7175925925925919E-4</v>
      </c>
      <c r="AK27" s="3">
        <f>IF(Table1221101934465870100106[[#This Row],[run2 times]]="",999.99,IF(Table1221101934465870100106[[#This Row],[run2 times]]=$AP$3,0,MAX(0,ROUND(((Table1221101934465870100106[[#This Row],[run2 times]]-$AP$3)/$AP$3)*$AO$6,2))))</f>
        <v>231.59</v>
      </c>
      <c r="AL27" s="2">
        <f>IF(OR(Table1221101934465870100106[[#This Row],[run 1 times]]="",Table1221101934465870100106[[#This Row],[run2 times]]=""),"",Table1221101934465870100106[[#This Row],[run 1 times]]+Table1221101934465870100106[[#This Row],[run2 times]])</f>
        <v>1.6596064814814813E-3</v>
      </c>
      <c r="AM27" s="3">
        <f>IF(Table1221101934465870100106[[#This Row],[total time]]="",999.99,IF(Table1221101934465870100106[[#This Row],[total time]]=$AQ$3,0,MAX(0,ROUND(((Table1221101934465870100106[[#This Row],[total time]]-$AQ$3)/$AQ$3)*$AO$6,2))))</f>
        <v>217.03</v>
      </c>
    </row>
    <row r="28" spans="1:39" x14ac:dyDescent="0.3">
      <c r="A28">
        <v>27</v>
      </c>
      <c r="B28">
        <v>27</v>
      </c>
      <c r="C28" t="s">
        <v>487</v>
      </c>
      <c r="D28" t="s">
        <v>522</v>
      </c>
      <c r="E28" t="s">
        <v>863</v>
      </c>
      <c r="F28">
        <v>2012</v>
      </c>
      <c r="G28" s="5">
        <v>1.0194444444444443E-3</v>
      </c>
      <c r="H28" s="5">
        <v>9.621527777777777E-4</v>
      </c>
      <c r="I28" s="5">
        <v>1.9815972222222223E-3</v>
      </c>
      <c r="K28">
        <v>91186</v>
      </c>
      <c r="L28" s="2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1.0194444444444443E-3</v>
      </c>
      <c r="M28" s="3">
        <f>IF(Table127163143556797103[[#This Row],[run 1 times]]="",999.99,IF(Table127163143556797103[[#This Row],[run 1 times]]=$S$3,0,MAX(0,ROUND(((Table127163143556797103[[#This Row],[run 1 times]]-$S$3)/$S$3)*$T$6,2))))</f>
        <v>130.38</v>
      </c>
      <c r="N28" s="2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9.621527777777777E-4</v>
      </c>
      <c r="O28" s="3">
        <f>IF(Table127163143556797103[[#This Row],[run2 times]]="",999.99,IF(Table127163143556797103[[#This Row],[run2 times]]=$T$3,0,MAX(0,ROUND(((Table127163143556797103[[#This Row],[run2 times]]-$T$3)/$T$3)*$T$6,2))))</f>
        <v>173.22</v>
      </c>
      <c r="P28" s="2">
        <f>IF(OR(Table127163143556797103[[#This Row],[run 1 times]]="",Table127163143556797103[[#This Row],[run2 times]]=""),"",Table127163143556797103[[#This Row],[run 1 times]]+Table127163143556797103[[#This Row],[run2 times]])</f>
        <v>1.9815972222222223E-3</v>
      </c>
      <c r="Q28" s="3">
        <f>IF(Table127163143556797103[[#This Row],[total time]]="",999.99,IF(Table127163143556797103[[#This Row],[total time]]=$U$3,0,MAX(0,ROUND(((Table127163143556797103[[#This Row],[total time]]-$U$3)/$U$3)*$T$6,2))))</f>
        <v>112.8</v>
      </c>
      <c r="W28">
        <v>27</v>
      </c>
      <c r="X28">
        <v>132</v>
      </c>
      <c r="Y28" t="s">
        <v>479</v>
      </c>
      <c r="Z28" t="s">
        <v>547</v>
      </c>
      <c r="AA28" t="s">
        <v>551</v>
      </c>
      <c r="AB28">
        <v>2010</v>
      </c>
      <c r="AC28" s="1">
        <v>57.91</v>
      </c>
      <c r="AD28" s="1">
        <v>7.1956018518518517E-4</v>
      </c>
      <c r="AE28" s="1">
        <v>1.3898148148148149E-3</v>
      </c>
      <c r="AG28">
        <v>89878</v>
      </c>
      <c r="AH28" s="2">
        <f>_xlfn.LET(_xlpm.x,Table1221101934465870100106[[#This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6.7025462962962959E-4</v>
      </c>
      <c r="AI28" s="3">
        <f>IF(Table1221101934465870100106[[#This Row],[run 1 times]]="",999.99,IF(Table1221101934465870100106[[#This Row],[run 1 times]]=$AO$3,0,MAX(0,ROUND(((Table1221101934465870100106[[#This Row],[run 1 times]]-$AO$3)/$AO$3)*$AO$6,2))))</f>
        <v>62.4</v>
      </c>
      <c r="AJ28" s="2">
        <f>_xlfn.LET(_xlpm.x,Table1221101934465870100106[[#This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7.1956018518518517E-4</v>
      </c>
      <c r="AK28" s="3">
        <f>IF(Table1221101934465870100106[[#This Row],[run2 times]]="",999.99,IF(Table1221101934465870100106[[#This Row],[run2 times]]=$AP$3,0,MAX(0,ROUND(((Table1221101934465870100106[[#This Row],[run2 times]]-$AP$3)/$AP$3)*$AO$6,2))))</f>
        <v>63.71</v>
      </c>
      <c r="AL28" s="2">
        <f>IF(OR(Table1221101934465870100106[[#This Row],[run 1 times]]="",Table1221101934465870100106[[#This Row],[run2 times]]=""),"",Table1221101934465870100106[[#This Row],[run 1 times]]+Table1221101934465870100106[[#This Row],[run2 times]])</f>
        <v>1.3898148148148146E-3</v>
      </c>
      <c r="AM28" s="3">
        <f>IF(Table1221101934465870100106[[#This Row],[total time]]="",999.99,IF(Table1221101934465870100106[[#This Row],[total time]]=$AQ$3,0,MAX(0,ROUND(((Table1221101934465870100106[[#This Row],[total time]]-$AQ$3)/$AQ$3)*$AO$6,2))))</f>
        <v>63.07</v>
      </c>
    </row>
    <row r="29" spans="1:39" x14ac:dyDescent="0.3">
      <c r="A29">
        <v>28</v>
      </c>
      <c r="B29">
        <v>28</v>
      </c>
      <c r="C29" t="s">
        <v>24</v>
      </c>
      <c r="D29" t="s">
        <v>522</v>
      </c>
      <c r="E29" t="s">
        <v>525</v>
      </c>
      <c r="F29">
        <v>2012</v>
      </c>
      <c r="G29" t="s">
        <v>518</v>
      </c>
      <c r="H29" s="5">
        <v>8.2129629629629642E-4</v>
      </c>
      <c r="K29">
        <v>93740</v>
      </c>
      <c r="L29" s="2" t="str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29" s="3">
        <f>IF(Table127163143556797103[[#This Row],[run 1 times]]="",999.99,IF(Table127163143556797103[[#This Row],[run 1 times]]=$S$3,0,MAX(0,ROUND(((Table127163143556797103[[#This Row],[run 1 times]]-$S$3)/$S$3)*$T$6,2))))</f>
        <v>999.99</v>
      </c>
      <c r="N29" s="2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8.2129629629629642E-4</v>
      </c>
      <c r="O29" s="3">
        <f>IF(Table127163143556797103[[#This Row],[run2 times]]="",999.99,IF(Table127163143556797103[[#This Row],[run2 times]]=$T$3,0,MAX(0,ROUND(((Table127163143556797103[[#This Row],[run2 times]]-$T$3)/$T$3)*$T$6,2))))</f>
        <v>0</v>
      </c>
      <c r="P29" s="2" t="str">
        <f>IF(OR(Table127163143556797103[[#This Row],[run 1 times]]="",Table127163143556797103[[#This Row],[run2 times]]=""),"",Table127163143556797103[[#This Row],[run 1 times]]+Table127163143556797103[[#This Row],[run2 times]])</f>
        <v/>
      </c>
      <c r="Q29" s="3">
        <f>IF(Table127163143556797103[[#This Row],[total time]]="",999.99,IF(Table127163143556797103[[#This Row],[total time]]=$U$3,0,MAX(0,ROUND(((Table127163143556797103[[#This Row],[total time]]-$U$3)/$U$3)*$T$6,2))))</f>
        <v>999.99</v>
      </c>
      <c r="W29">
        <v>28</v>
      </c>
      <c r="X29">
        <v>133</v>
      </c>
      <c r="Y29" t="s">
        <v>479</v>
      </c>
      <c r="Z29" t="s">
        <v>547</v>
      </c>
      <c r="AA29" t="s">
        <v>561</v>
      </c>
      <c r="AB29">
        <v>2011</v>
      </c>
      <c r="AC29" s="1">
        <v>59.11</v>
      </c>
      <c r="AD29" s="1">
        <v>7.1331018518518521E-4</v>
      </c>
      <c r="AE29" s="1">
        <v>1.3974537037037037E-3</v>
      </c>
      <c r="AG29">
        <v>101426</v>
      </c>
      <c r="AH29" s="2">
        <f>_xlfn.LET(_xlpm.x,Table1221101934465870100106[[#This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6.841435185185185E-4</v>
      </c>
      <c r="AI29" s="3">
        <f>IF(Table1221101934465870100106[[#This Row],[run 1 times]]="",999.99,IF(Table1221101934465870100106[[#This Row],[run 1 times]]=$AO$3,0,MAX(0,ROUND(((Table1221101934465870100106[[#This Row],[run 1 times]]-$AO$3)/$AO$3)*$AO$6,2))))</f>
        <v>78.819999999999993</v>
      </c>
      <c r="AJ29" s="2">
        <f>_xlfn.LET(_xlpm.x,Table1221101934465870100106[[#This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7.1331018518518521E-4</v>
      </c>
      <c r="AK29" s="3">
        <f>IF(Table1221101934465870100106[[#This Row],[run2 times]]="",999.99,IF(Table1221101934465870100106[[#This Row],[run2 times]]=$AP$3,0,MAX(0,ROUND(((Table1221101934465870100106[[#This Row],[run2 times]]-$AP$3)/$AP$3)*$AO$6,2))))</f>
        <v>56.81</v>
      </c>
      <c r="AL29" s="2">
        <f>IF(OR(Table1221101934465870100106[[#This Row],[run 1 times]]="",Table1221101934465870100106[[#This Row],[run2 times]]=""),"",Table1221101934465870100106[[#This Row],[run 1 times]]+Table1221101934465870100106[[#This Row],[run2 times]])</f>
        <v>1.3974537037037037E-3</v>
      </c>
      <c r="AM29" s="3">
        <f>IF(Table1221101934465870100106[[#This Row],[total time]]="",999.99,IF(Table1221101934465870100106[[#This Row],[total time]]=$AQ$3,0,MAX(0,ROUND(((Table1221101934465870100106[[#This Row],[total time]]-$AQ$3)/$AQ$3)*$AO$6,2))))</f>
        <v>67.430000000000007</v>
      </c>
    </row>
    <row r="30" spans="1:39" x14ac:dyDescent="0.3">
      <c r="A30">
        <v>29</v>
      </c>
      <c r="B30">
        <v>30</v>
      </c>
      <c r="C30" t="s">
        <v>24</v>
      </c>
      <c r="D30" t="s">
        <v>522</v>
      </c>
      <c r="E30" t="s">
        <v>539</v>
      </c>
      <c r="F30">
        <v>2012</v>
      </c>
      <c r="G30" s="5">
        <v>1.0002314814814815E-3</v>
      </c>
      <c r="H30" s="5">
        <v>9.4479166666666659E-4</v>
      </c>
      <c r="I30" s="5">
        <v>1.9450231481481482E-3</v>
      </c>
      <c r="K30">
        <v>102777</v>
      </c>
      <c r="L30" s="2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1.0002314814814815E-3</v>
      </c>
      <c r="M30" s="3">
        <f>IF(Table127163143556797103[[#This Row],[run 1 times]]="",999.99,IF(Table127163143556797103[[#This Row],[run 1 times]]=$S$3,0,MAX(0,ROUND(((Table127163143556797103[[#This Row],[run 1 times]]-$S$3)/$S$3)*$T$6,2))))</f>
        <v>108.88</v>
      </c>
      <c r="N30" s="2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9.4479166666666659E-4</v>
      </c>
      <c r="O30" s="3">
        <f>IF(Table127163143556797103[[#This Row],[run2 times]]="",999.99,IF(Table127163143556797103[[#This Row],[run2 times]]=$T$3,0,MAX(0,ROUND(((Table127163143556797103[[#This Row],[run2 times]]-$T$3)/$T$3)*$T$6,2))))</f>
        <v>151.87</v>
      </c>
      <c r="P30" s="2">
        <f>IF(OR(Table127163143556797103[[#This Row],[run 1 times]]="",Table127163143556797103[[#This Row],[run2 times]]=""),"",Table127163143556797103[[#This Row],[run 1 times]]+Table127163143556797103[[#This Row],[run2 times]])</f>
        <v>1.945023148148148E-3</v>
      </c>
      <c r="Q30" s="3">
        <f>IF(Table127163143556797103[[#This Row],[total time]]="",999.99,IF(Table127163143556797103[[#This Row],[total time]]=$U$3,0,MAX(0,ROUND(((Table127163143556797103[[#This Row],[total time]]-$U$3)/$U$3)*$T$6,2))))</f>
        <v>92.07</v>
      </c>
      <c r="W30">
        <v>29</v>
      </c>
      <c r="X30">
        <v>134</v>
      </c>
      <c r="Y30" t="s">
        <v>479</v>
      </c>
      <c r="Z30" t="s">
        <v>547</v>
      </c>
      <c r="AA30" t="s">
        <v>579</v>
      </c>
      <c r="AB30">
        <v>2011</v>
      </c>
      <c r="AC30" s="1">
        <v>57.67</v>
      </c>
      <c r="AD30" s="1">
        <v>7.2048611111111109E-4</v>
      </c>
      <c r="AE30" s="1">
        <v>1.387962962962963E-3</v>
      </c>
      <c r="AG30">
        <v>89870</v>
      </c>
      <c r="AH30" s="2">
        <f>_xlfn.LET(_xlpm.x,Table1221101934465870100106[[#This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6.6747685185185182E-4</v>
      </c>
      <c r="AI30" s="3">
        <f>IF(Table1221101934465870100106[[#This Row],[run 1 times]]="",999.99,IF(Table1221101934465870100106[[#This Row],[run 1 times]]=$AO$3,0,MAX(0,ROUND(((Table1221101934465870100106[[#This Row],[run 1 times]]-$AO$3)/$AO$3)*$AO$6,2))))</f>
        <v>59.11</v>
      </c>
      <c r="AJ30" s="2">
        <f>_xlfn.LET(_xlpm.x,Table1221101934465870100106[[#This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7.2048611111111109E-4</v>
      </c>
      <c r="AK30" s="3">
        <f>IF(Table1221101934465870100106[[#This Row],[run2 times]]="",999.99,IF(Table1221101934465870100106[[#This Row],[run2 times]]=$AP$3,0,MAX(0,ROUND(((Table1221101934465870100106[[#This Row],[run2 times]]-$AP$3)/$AP$3)*$AO$6,2))))</f>
        <v>64.73</v>
      </c>
      <c r="AL30" s="2">
        <f>IF(OR(Table1221101934465870100106[[#This Row],[run 1 times]]="",Table1221101934465870100106[[#This Row],[run2 times]]=""),"",Table1221101934465870100106[[#This Row],[run 1 times]]+Table1221101934465870100106[[#This Row],[run2 times]])</f>
        <v>1.3879629629629628E-3</v>
      </c>
      <c r="AM30" s="3">
        <f>IF(Table1221101934465870100106[[#This Row],[total time]]="",999.99,IF(Table1221101934465870100106[[#This Row],[total time]]=$AQ$3,0,MAX(0,ROUND(((Table1221101934465870100106[[#This Row],[total time]]-$AQ$3)/$AQ$3)*$AO$6,2))))</f>
        <v>62.02</v>
      </c>
    </row>
    <row r="31" spans="1:39" x14ac:dyDescent="0.3">
      <c r="A31">
        <v>33</v>
      </c>
      <c r="B31">
        <v>34</v>
      </c>
      <c r="C31" t="s">
        <v>24</v>
      </c>
      <c r="D31" t="s">
        <v>522</v>
      </c>
      <c r="E31" t="s">
        <v>527</v>
      </c>
      <c r="F31">
        <v>2012</v>
      </c>
      <c r="G31" s="5">
        <v>9.4791666666666679E-4</v>
      </c>
      <c r="H31" s="5">
        <v>8.8784722222222227E-4</v>
      </c>
      <c r="I31" s="5">
        <v>1.8357638888888889E-3</v>
      </c>
      <c r="K31">
        <v>93762</v>
      </c>
      <c r="L31" s="2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9.4791666666666679E-4</v>
      </c>
      <c r="M31" s="3">
        <f>IF(Table127163143556797103[[#This Row],[run 1 times]]="",999.99,IF(Table127163143556797103[[#This Row],[run 1 times]]=$S$3,0,MAX(0,ROUND(((Table127163143556797103[[#This Row],[run 1 times]]-$S$3)/$S$3)*$T$6,2))))</f>
        <v>50.36</v>
      </c>
      <c r="N31" s="2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8.8784722222222227E-4</v>
      </c>
      <c r="O31" s="3">
        <f>IF(Table127163143556797103[[#This Row],[run2 times]]="",999.99,IF(Table127163143556797103[[#This Row],[run2 times]]=$T$3,0,MAX(0,ROUND(((Table127163143556797103[[#This Row],[run2 times]]-$T$3)/$T$3)*$T$6,2))))</f>
        <v>81.84</v>
      </c>
      <c r="P31" s="2">
        <f>IF(OR(Table127163143556797103[[#This Row],[run 1 times]]="",Table127163143556797103[[#This Row],[run2 times]]=""),"",Table127163143556797103[[#This Row],[run 1 times]]+Table127163143556797103[[#This Row],[run2 times]])</f>
        <v>1.8357638888888889E-3</v>
      </c>
      <c r="Q31" s="3">
        <f>IF(Table127163143556797103[[#This Row],[total time]]="",999.99,IF(Table127163143556797103[[#This Row],[total time]]=$U$3,0,MAX(0,ROUND(((Table127163143556797103[[#This Row],[total time]]-$U$3)/$U$3)*$T$6,2))))</f>
        <v>30.17</v>
      </c>
      <c r="W31">
        <v>30</v>
      </c>
      <c r="X31">
        <v>135</v>
      </c>
      <c r="Y31" t="s">
        <v>223</v>
      </c>
      <c r="Z31" t="s">
        <v>572</v>
      </c>
      <c r="AA31" t="s">
        <v>569</v>
      </c>
      <c r="AB31">
        <v>2008</v>
      </c>
      <c r="AC31" s="1">
        <v>57.78</v>
      </c>
      <c r="AD31" s="1">
        <v>7.0902777777777772E-4</v>
      </c>
      <c r="AE31" s="1">
        <v>1.3777777777777777E-3</v>
      </c>
      <c r="AG31">
        <v>85061</v>
      </c>
      <c r="AH31" s="2">
        <f>_xlfn.LET(_xlpm.x,Table1221101934465870100106[[#This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6.6874999999999997E-4</v>
      </c>
      <c r="AI31" s="3">
        <f>IF(Table1221101934465870100106[[#This Row],[run 1 times]]="",999.99,IF(Table1221101934465870100106[[#This Row],[run 1 times]]=$AO$3,0,MAX(0,ROUND(((Table1221101934465870100106[[#This Row],[run 1 times]]-$AO$3)/$AO$3)*$AO$6,2))))</f>
        <v>60.62</v>
      </c>
      <c r="AJ31" s="2">
        <f>_xlfn.LET(_xlpm.x,Table1221101934465870100106[[#This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7.0902777777777772E-4</v>
      </c>
      <c r="AK31" s="3">
        <f>IF(Table1221101934465870100106[[#This Row],[run2 times]]="",999.99,IF(Table1221101934465870100106[[#This Row],[run2 times]]=$AP$3,0,MAX(0,ROUND(((Table1221101934465870100106[[#This Row],[run2 times]]-$AP$3)/$AP$3)*$AO$6,2))))</f>
        <v>52.09</v>
      </c>
      <c r="AL31" s="2">
        <f>IF(OR(Table1221101934465870100106[[#This Row],[run 1 times]]="",Table1221101934465870100106[[#This Row],[run2 times]]=""),"",Table1221101934465870100106[[#This Row],[run 1 times]]+Table1221101934465870100106[[#This Row],[run2 times]])</f>
        <v>1.3777777777777777E-3</v>
      </c>
      <c r="AM31" s="3">
        <f>IF(Table1221101934465870100106[[#This Row],[total time]]="",999.99,IF(Table1221101934465870100106[[#This Row],[total time]]=$AQ$3,0,MAX(0,ROUND(((Table1221101934465870100106[[#This Row],[total time]]-$AQ$3)/$AQ$3)*$AO$6,2))))</f>
        <v>56.2</v>
      </c>
    </row>
    <row r="32" spans="1:39" x14ac:dyDescent="0.3">
      <c r="A32">
        <v>34</v>
      </c>
      <c r="B32">
        <v>35</v>
      </c>
      <c r="C32" t="s">
        <v>257</v>
      </c>
      <c r="D32" t="s">
        <v>522</v>
      </c>
      <c r="E32" t="s">
        <v>542</v>
      </c>
      <c r="F32">
        <v>2013</v>
      </c>
      <c r="G32" s="5">
        <v>9.6747685185185185E-4</v>
      </c>
      <c r="H32" s="5">
        <v>9.0451388888888895E-4</v>
      </c>
      <c r="I32" s="5">
        <v>1.8719907407407409E-3</v>
      </c>
      <c r="K32">
        <v>118512</v>
      </c>
      <c r="L32" s="2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9.6747685185185185E-4</v>
      </c>
      <c r="M32" s="3">
        <f>IF(Table127163143556797103[[#This Row],[run 1 times]]="",999.99,IF(Table127163143556797103[[#This Row],[run 1 times]]=$S$3,0,MAX(0,ROUND(((Table127163143556797103[[#This Row],[run 1 times]]-$S$3)/$S$3)*$T$6,2))))</f>
        <v>72.239999999999995</v>
      </c>
      <c r="N32" s="2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9.0451388888888895E-4</v>
      </c>
      <c r="O32" s="3">
        <f>IF(Table127163143556797103[[#This Row],[run2 times]]="",999.99,IF(Table127163143556797103[[#This Row],[run2 times]]=$T$3,0,MAX(0,ROUND(((Table127163143556797103[[#This Row],[run2 times]]-$T$3)/$T$3)*$T$6,2))))</f>
        <v>102.34</v>
      </c>
      <c r="P32" s="2">
        <f>IF(OR(Table127163143556797103[[#This Row],[run 1 times]]="",Table127163143556797103[[#This Row],[run2 times]]=""),"",Table127163143556797103[[#This Row],[run 1 times]]+Table127163143556797103[[#This Row],[run2 times]])</f>
        <v>1.8719907407407409E-3</v>
      </c>
      <c r="Q32" s="3">
        <f>IF(Table127163143556797103[[#This Row],[total time]]="",999.99,IF(Table127163143556797103[[#This Row],[total time]]=$U$3,0,MAX(0,ROUND(((Table127163143556797103[[#This Row],[total time]]-$U$3)/$U$3)*$T$6,2))))</f>
        <v>50.69</v>
      </c>
      <c r="W32">
        <v>31</v>
      </c>
      <c r="X32">
        <v>136</v>
      </c>
      <c r="Y32" t="s">
        <v>257</v>
      </c>
      <c r="Z32" t="s">
        <v>572</v>
      </c>
      <c r="AA32" t="s">
        <v>558</v>
      </c>
      <c r="AB32">
        <v>2009</v>
      </c>
      <c r="AC32" s="1">
        <v>7.0173611111111109E-4</v>
      </c>
      <c r="AD32" s="1" t="s">
        <v>512</v>
      </c>
      <c r="AE32" s="1"/>
      <c r="AG32">
        <v>109211</v>
      </c>
      <c r="AH32" s="2">
        <f>_xlfn.LET(_xlpm.x,Table1221101934465870100106[[#This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7.0173611111111109E-4</v>
      </c>
      <c r="AI32" s="3">
        <f>IF(Table1221101934465870100106[[#This Row],[run 1 times]]="",999.99,IF(Table1221101934465870100106[[#This Row],[run 1 times]]=$AO$3,0,MAX(0,ROUND(((Table1221101934465870100106[[#This Row],[run 1 times]]-$AO$3)/$AO$3)*$AO$6,2))))</f>
        <v>99.61</v>
      </c>
      <c r="AJ32" s="2" t="str">
        <f>_xlfn.LET(_xlpm.x,Table1221101934465870100106[[#This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32" s="3">
        <f>IF(Table1221101934465870100106[[#This Row],[run2 times]]="",999.99,IF(Table1221101934465870100106[[#This Row],[run2 times]]=$AP$3,0,MAX(0,ROUND(((Table1221101934465870100106[[#This Row],[run2 times]]-$AP$3)/$AP$3)*$AO$6,2))))</f>
        <v>999.99</v>
      </c>
      <c r="AL32" s="2" t="str">
        <f>IF(OR(Table1221101934465870100106[[#This Row],[run 1 times]]="",Table1221101934465870100106[[#This Row],[run2 times]]=""),"",Table1221101934465870100106[[#This Row],[run 1 times]]+Table1221101934465870100106[[#This Row],[run2 times]])</f>
        <v/>
      </c>
      <c r="AM32" s="3">
        <f>IF(Table1221101934465870100106[[#This Row],[total time]]="",999.99,IF(Table1221101934465870100106[[#This Row],[total time]]=$AQ$3,0,MAX(0,ROUND(((Table1221101934465870100106[[#This Row],[total time]]-$AQ$3)/$AQ$3)*$AO$6,2))))</f>
        <v>999.99</v>
      </c>
    </row>
    <row r="33" spans="1:39" x14ac:dyDescent="0.3">
      <c r="A33">
        <v>35</v>
      </c>
      <c r="B33">
        <v>37</v>
      </c>
      <c r="C33" t="s">
        <v>257</v>
      </c>
      <c r="D33" t="s">
        <v>522</v>
      </c>
      <c r="E33" t="s">
        <v>528</v>
      </c>
      <c r="F33">
        <v>2012</v>
      </c>
      <c r="G33" s="5">
        <v>9.2476851851851856E-4</v>
      </c>
      <c r="H33" s="5">
        <v>8.821759259259259E-4</v>
      </c>
      <c r="I33" s="5">
        <v>1.8069444444444446E-3</v>
      </c>
      <c r="K33">
        <v>102713</v>
      </c>
      <c r="L33" s="2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9.2476851851851856E-4</v>
      </c>
      <c r="M33" s="3">
        <f>IF(Table127163143556797103[[#This Row],[run 1 times]]="",999.99,IF(Table127163143556797103[[#This Row],[run 1 times]]=$S$3,0,MAX(0,ROUND(((Table127163143556797103[[#This Row],[run 1 times]]-$S$3)/$S$3)*$T$6,2))))</f>
        <v>24.47</v>
      </c>
      <c r="N33" s="2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8.821759259259259E-4</v>
      </c>
      <c r="O33" s="3">
        <f>IF(Table127163143556797103[[#This Row],[run2 times]]="",999.99,IF(Table127163143556797103[[#This Row],[run2 times]]=$T$3,0,MAX(0,ROUND(((Table127163143556797103[[#This Row],[run2 times]]-$T$3)/$T$3)*$T$6,2))))</f>
        <v>74.87</v>
      </c>
      <c r="P33" s="2">
        <f>IF(OR(Table127163143556797103[[#This Row],[run 1 times]]="",Table127163143556797103[[#This Row],[run2 times]]=""),"",Table127163143556797103[[#This Row],[run 1 times]]+Table127163143556797103[[#This Row],[run2 times]])</f>
        <v>1.8069444444444444E-3</v>
      </c>
      <c r="Q33" s="3">
        <f>IF(Table127163143556797103[[#This Row],[total time]]="",999.99,IF(Table127163143556797103[[#This Row],[total time]]=$U$3,0,MAX(0,ROUND(((Table127163143556797103[[#This Row],[total time]]-$U$3)/$U$3)*$T$6,2))))</f>
        <v>13.84</v>
      </c>
      <c r="W33">
        <v>32</v>
      </c>
      <c r="X33">
        <v>137</v>
      </c>
      <c r="Y33" t="s">
        <v>479</v>
      </c>
      <c r="Z33" t="s">
        <v>547</v>
      </c>
      <c r="AA33" t="s">
        <v>557</v>
      </c>
      <c r="AB33">
        <v>2010</v>
      </c>
      <c r="AC33" s="1">
        <v>6.9594907407407409E-4</v>
      </c>
      <c r="AD33" s="1">
        <v>7.2685185185185179E-4</v>
      </c>
      <c r="AE33" s="1">
        <v>1.4228009259259261E-3</v>
      </c>
      <c r="AG33">
        <v>89874</v>
      </c>
      <c r="AH33" s="2">
        <f>_xlfn.LET(_xlpm.x,Table1221101934465870100106[[#This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6.9594907407407409E-4</v>
      </c>
      <c r="AI33" s="3">
        <f>IF(Table1221101934465870100106[[#This Row],[run 1 times]]="",999.99,IF(Table1221101934465870100106[[#This Row],[run 1 times]]=$AO$3,0,MAX(0,ROUND(((Table1221101934465870100106[[#This Row],[run 1 times]]-$AO$3)/$AO$3)*$AO$6,2))))</f>
        <v>92.77</v>
      </c>
      <c r="AJ33" s="2">
        <f>_xlfn.LET(_xlpm.x,Table1221101934465870100106[[#This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7.2685185185185179E-4</v>
      </c>
      <c r="AK33" s="3">
        <f>IF(Table1221101934465870100106[[#This Row],[run2 times]]="",999.99,IF(Table1221101934465870100106[[#This Row],[run2 times]]=$AP$3,0,MAX(0,ROUND(((Table1221101934465870100106[[#This Row],[run2 times]]-$AP$3)/$AP$3)*$AO$6,2))))</f>
        <v>71.75</v>
      </c>
      <c r="AL33" s="2">
        <f>IF(OR(Table1221101934465870100106[[#This Row],[run 1 times]]="",Table1221101934465870100106[[#This Row],[run2 times]]=""),"",Table1221101934465870100106[[#This Row],[run 1 times]]+Table1221101934465870100106[[#This Row],[run2 times]])</f>
        <v>1.4228009259259259E-3</v>
      </c>
      <c r="AM33" s="3">
        <f>IF(Table1221101934465870100106[[#This Row],[total time]]="",999.99,IF(Table1221101934465870100106[[#This Row],[total time]]=$AQ$3,0,MAX(0,ROUND(((Table1221101934465870100106[[#This Row],[total time]]-$AQ$3)/$AQ$3)*$AO$6,2))))</f>
        <v>81.900000000000006</v>
      </c>
    </row>
    <row r="34" spans="1:39" x14ac:dyDescent="0.3">
      <c r="A34">
        <v>36</v>
      </c>
      <c r="B34">
        <v>38</v>
      </c>
      <c r="C34" t="s">
        <v>257</v>
      </c>
      <c r="D34" t="s">
        <v>480</v>
      </c>
      <c r="E34" t="s">
        <v>864</v>
      </c>
      <c r="F34">
        <v>2014</v>
      </c>
      <c r="G34" s="5">
        <v>1.3011574074074073E-3</v>
      </c>
      <c r="H34" t="s">
        <v>512</v>
      </c>
      <c r="K34">
        <v>124080</v>
      </c>
      <c r="L34" s="2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1.3011574074074073E-3</v>
      </c>
      <c r="M34" s="3">
        <f>IF(Table127163143556797103[[#This Row],[run 1 times]]="",999.99,IF(Table127163143556797103[[#This Row],[run 1 times]]=$S$3,0,MAX(0,ROUND(((Table127163143556797103[[#This Row],[run 1 times]]-$S$3)/$S$3)*$T$6,2))))</f>
        <v>445.51</v>
      </c>
      <c r="N34" s="2" t="str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34" s="3">
        <f>IF(Table127163143556797103[[#This Row],[run2 times]]="",999.99,IF(Table127163143556797103[[#This Row],[run2 times]]=$T$3,0,MAX(0,ROUND(((Table127163143556797103[[#This Row],[run2 times]]-$T$3)/$T$3)*$T$6,2))))</f>
        <v>999.99</v>
      </c>
      <c r="P34" s="2" t="str">
        <f>IF(OR(Table127163143556797103[[#This Row],[run 1 times]]="",Table127163143556797103[[#This Row],[run2 times]]=""),"",Table127163143556797103[[#This Row],[run 1 times]]+Table127163143556797103[[#This Row],[run2 times]])</f>
        <v/>
      </c>
      <c r="Q34" s="3">
        <f>IF(Table127163143556797103[[#This Row],[total time]]="",999.99,IF(Table127163143556797103[[#This Row],[total time]]=$U$3,0,MAX(0,ROUND(((Table127163143556797103[[#This Row],[total time]]-$U$3)/$U$3)*$T$6,2))))</f>
        <v>999.99</v>
      </c>
      <c r="W34">
        <v>33</v>
      </c>
      <c r="X34">
        <v>138</v>
      </c>
      <c r="Y34" t="s">
        <v>479</v>
      </c>
      <c r="Z34" t="s">
        <v>572</v>
      </c>
      <c r="AA34" t="s">
        <v>553</v>
      </c>
      <c r="AB34">
        <v>2009</v>
      </c>
      <c r="AC34" s="1">
        <v>58.19</v>
      </c>
      <c r="AD34" s="1">
        <v>7.2314814814814811E-4</v>
      </c>
      <c r="AE34" s="1">
        <v>1.3966435185185186E-3</v>
      </c>
      <c r="AG34">
        <v>88121</v>
      </c>
      <c r="AH34" s="2">
        <f>_xlfn.LET(_xlpm.x,Table1221101934465870100106[[#This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6.7349537037037031E-4</v>
      </c>
      <c r="AI34" s="3">
        <f>IF(Table1221101934465870100106[[#This Row],[run 1 times]]="",999.99,IF(Table1221101934465870100106[[#This Row],[run 1 times]]=$AO$3,0,MAX(0,ROUND(((Table1221101934465870100106[[#This Row],[run 1 times]]-$AO$3)/$AO$3)*$AO$6,2))))</f>
        <v>66.23</v>
      </c>
      <c r="AJ34" s="2">
        <f>_xlfn.LET(_xlpm.x,Table1221101934465870100106[[#This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7.2314814814814811E-4</v>
      </c>
      <c r="AK34" s="3">
        <f>IF(Table1221101934465870100106[[#This Row],[run2 times]]="",999.99,IF(Table1221101934465870100106[[#This Row],[run2 times]]=$AP$3,0,MAX(0,ROUND(((Table1221101934465870100106[[#This Row],[run2 times]]-$AP$3)/$AP$3)*$AO$6,2))))</f>
        <v>67.66</v>
      </c>
      <c r="AL34" s="2">
        <f>IF(OR(Table1221101934465870100106[[#This Row],[run 1 times]]="",Table1221101934465870100106[[#This Row],[run2 times]]=""),"",Table1221101934465870100106[[#This Row],[run 1 times]]+Table1221101934465870100106[[#This Row],[run2 times]])</f>
        <v>1.3966435185185184E-3</v>
      </c>
      <c r="AM34" s="3">
        <f>IF(Table1221101934465870100106[[#This Row],[total time]]="",999.99,IF(Table1221101934465870100106[[#This Row],[total time]]=$AQ$3,0,MAX(0,ROUND(((Table1221101934465870100106[[#This Row],[total time]]-$AQ$3)/$AQ$3)*$AO$6,2))))</f>
        <v>66.97</v>
      </c>
    </row>
    <row r="35" spans="1:39" x14ac:dyDescent="0.3">
      <c r="A35">
        <v>38</v>
      </c>
      <c r="B35">
        <v>40</v>
      </c>
      <c r="C35" t="s">
        <v>257</v>
      </c>
      <c r="D35" t="s">
        <v>480</v>
      </c>
      <c r="E35" t="s">
        <v>865</v>
      </c>
      <c r="F35">
        <v>2015</v>
      </c>
      <c r="G35" s="5">
        <v>1.0644675925925925E-3</v>
      </c>
      <c r="H35" s="5">
        <v>1.0377314814814815E-3</v>
      </c>
      <c r="I35" s="5">
        <v>2.102199074074074E-3</v>
      </c>
      <c r="K35">
        <v>119074</v>
      </c>
      <c r="L35" s="2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1.0644675925925925E-3</v>
      </c>
      <c r="M35" s="3">
        <f>IF(Table127163143556797103[[#This Row],[run 1 times]]="",999.99,IF(Table127163143556797103[[#This Row],[run 1 times]]=$S$3,0,MAX(0,ROUND(((Table127163143556797103[[#This Row],[run 1 times]]-$S$3)/$S$3)*$T$6,2))))</f>
        <v>180.74</v>
      </c>
      <c r="N35" s="2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1.0377314814814815E-3</v>
      </c>
      <c r="O35" s="3">
        <f>IF(Table127163143556797103[[#This Row],[run2 times]]="",999.99,IF(Table127163143556797103[[#This Row],[run2 times]]=$T$3,0,MAX(0,ROUND(((Table127163143556797103[[#This Row],[run2 times]]-$T$3)/$T$3)*$T$6,2))))</f>
        <v>266.16000000000003</v>
      </c>
      <c r="P35" s="2">
        <f>IF(OR(Table127163143556797103[[#This Row],[run 1 times]]="",Table127163143556797103[[#This Row],[run2 times]]=""),"",Table127163143556797103[[#This Row],[run 1 times]]+Table127163143556797103[[#This Row],[run2 times]])</f>
        <v>2.102199074074074E-3</v>
      </c>
      <c r="Q35" s="3">
        <f>IF(Table127163143556797103[[#This Row],[total time]]="",999.99,IF(Table127163143556797103[[#This Row],[total time]]=$U$3,0,MAX(0,ROUND(((Table127163143556797103[[#This Row],[total time]]-$U$3)/$U$3)*$T$6,2))))</f>
        <v>181.13</v>
      </c>
      <c r="W35">
        <v>34</v>
      </c>
      <c r="X35">
        <v>139</v>
      </c>
      <c r="Y35" t="s">
        <v>487</v>
      </c>
      <c r="Z35" t="s">
        <v>547</v>
      </c>
      <c r="AA35" t="s">
        <v>577</v>
      </c>
      <c r="AB35">
        <v>2011</v>
      </c>
      <c r="AC35" s="1">
        <v>8.2326388888888879E-4</v>
      </c>
      <c r="AD35" s="1">
        <v>8.6967592592592598E-4</v>
      </c>
      <c r="AE35" s="1">
        <v>1.6929398148148149E-3</v>
      </c>
      <c r="AG35">
        <v>91878</v>
      </c>
      <c r="AH35" s="2">
        <f>_xlfn.LET(_xlpm.x,Table1221101934465870100106[[#This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8.2326388888888879E-4</v>
      </c>
      <c r="AI35" s="3">
        <f>IF(Table1221101934465870100106[[#This Row],[run 1 times]]="",999.99,IF(Table1221101934465870100106[[#This Row],[run 1 times]]=$AO$3,0,MAX(0,ROUND(((Table1221101934465870100106[[#This Row],[run 1 times]]-$AO$3)/$AO$3)*$AO$6,2))))</f>
        <v>243.29</v>
      </c>
      <c r="AJ35" s="2">
        <f>_xlfn.LET(_xlpm.x,Table1221101934465870100106[[#This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8.6967592592592598E-4</v>
      </c>
      <c r="AK35" s="3">
        <f>IF(Table1221101934465870100106[[#This Row],[run2 times]]="",999.99,IF(Table1221101934465870100106[[#This Row],[run2 times]]=$AP$3,0,MAX(0,ROUND(((Table1221101934465870100106[[#This Row],[run2 times]]-$AP$3)/$AP$3)*$AO$6,2))))</f>
        <v>229.29</v>
      </c>
      <c r="AL35" s="2">
        <f>IF(OR(Table1221101934465870100106[[#This Row],[run 1 times]]="",Table1221101934465870100106[[#This Row],[run2 times]]=""),"",Table1221101934465870100106[[#This Row],[run 1 times]]+Table1221101934465870100106[[#This Row],[run2 times]])</f>
        <v>1.6929398148148147E-3</v>
      </c>
      <c r="AM35" s="3">
        <f>IF(Table1221101934465870100106[[#This Row],[total time]]="",999.99,IF(Table1221101934465870100106[[#This Row],[total time]]=$AQ$3,0,MAX(0,ROUND(((Table1221101934465870100106[[#This Row],[total time]]-$AQ$3)/$AQ$3)*$AO$6,2))))</f>
        <v>236.05</v>
      </c>
    </row>
    <row r="36" spans="1:39" x14ac:dyDescent="0.3">
      <c r="A36">
        <v>41</v>
      </c>
      <c r="B36">
        <v>43</v>
      </c>
      <c r="C36" t="s">
        <v>487</v>
      </c>
      <c r="D36" t="s">
        <v>522</v>
      </c>
      <c r="E36" t="s">
        <v>867</v>
      </c>
      <c r="F36">
        <v>2012</v>
      </c>
      <c r="G36" t="s">
        <v>512</v>
      </c>
      <c r="H36" s="5">
        <v>8.9131944444444447E-4</v>
      </c>
      <c r="K36">
        <v>102360</v>
      </c>
      <c r="L36" s="2" t="str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36" s="3">
        <f>IF(Table127163143556797103[[#This Row],[run 1 times]]="",999.99,IF(Table127163143556797103[[#This Row],[run 1 times]]=$S$3,0,MAX(0,ROUND(((Table127163143556797103[[#This Row],[run 1 times]]-$S$3)/$S$3)*$T$6,2))))</f>
        <v>999.99</v>
      </c>
      <c r="N36" s="2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8.9131944444444447E-4</v>
      </c>
      <c r="O36" s="3">
        <f>IF(Table127163143556797103[[#This Row],[run2 times]]="",999.99,IF(Table127163143556797103[[#This Row],[run2 times]]=$T$3,0,MAX(0,ROUND(((Table127163143556797103[[#This Row],[run2 times]]-$T$3)/$T$3)*$T$6,2))))</f>
        <v>86.11</v>
      </c>
      <c r="P36" s="2" t="str">
        <f>IF(OR(Table127163143556797103[[#This Row],[run 1 times]]="",Table127163143556797103[[#This Row],[run2 times]]=""),"",Table127163143556797103[[#This Row],[run 1 times]]+Table127163143556797103[[#This Row],[run2 times]])</f>
        <v/>
      </c>
      <c r="Q36" s="3">
        <f>IF(Table127163143556797103[[#This Row],[total time]]="",999.99,IF(Table127163143556797103[[#This Row],[total time]]=$U$3,0,MAX(0,ROUND(((Table127163143556797103[[#This Row],[total time]]-$U$3)/$U$3)*$T$6,2))))</f>
        <v>999.99</v>
      </c>
      <c r="W36">
        <v>35</v>
      </c>
      <c r="X36">
        <v>140</v>
      </c>
      <c r="Y36" t="s">
        <v>24</v>
      </c>
      <c r="Z36" t="s">
        <v>547</v>
      </c>
      <c r="AA36" t="s">
        <v>834</v>
      </c>
      <c r="AB36">
        <v>2011</v>
      </c>
      <c r="AC36" s="1">
        <v>8.1238425925925922E-4</v>
      </c>
      <c r="AD36" s="1" t="s">
        <v>512</v>
      </c>
      <c r="AE36" s="1"/>
      <c r="AG36">
        <v>121115</v>
      </c>
      <c r="AH36" s="2">
        <f>_xlfn.LET(_xlpm.x,Table1221101934465870100106[[#This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8.1238425925925922E-4</v>
      </c>
      <c r="AI36" s="3">
        <f>IF(Table1221101934465870100106[[#This Row],[run 1 times]]="",999.99,IF(Table1221101934465870100106[[#This Row],[run 1 times]]=$AO$3,0,MAX(0,ROUND(((Table1221101934465870100106[[#This Row],[run 1 times]]-$AO$3)/$AO$3)*$AO$6,2))))</f>
        <v>230.43</v>
      </c>
      <c r="AJ36" s="2" t="str">
        <f>_xlfn.LET(_xlpm.x,Table1221101934465870100106[[#This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36" s="3">
        <f>IF(Table1221101934465870100106[[#This Row],[run2 times]]="",999.99,IF(Table1221101934465870100106[[#This Row],[run2 times]]=$AP$3,0,MAX(0,ROUND(((Table1221101934465870100106[[#This Row],[run2 times]]-$AP$3)/$AP$3)*$AO$6,2))))</f>
        <v>999.99</v>
      </c>
      <c r="AL36" s="2" t="str">
        <f>IF(OR(Table1221101934465870100106[[#This Row],[run 1 times]]="",Table1221101934465870100106[[#This Row],[run2 times]]=""),"",Table1221101934465870100106[[#This Row],[run 1 times]]+Table1221101934465870100106[[#This Row],[run2 times]])</f>
        <v/>
      </c>
      <c r="AM36" s="3">
        <f>IF(Table1221101934465870100106[[#This Row],[total time]]="",999.99,IF(Table1221101934465870100106[[#This Row],[total time]]=$AQ$3,0,MAX(0,ROUND(((Table1221101934465870100106[[#This Row],[total time]]-$AQ$3)/$AQ$3)*$AO$6,2))))</f>
        <v>999.99</v>
      </c>
    </row>
    <row r="37" spans="1:39" x14ac:dyDescent="0.3">
      <c r="A37">
        <v>42</v>
      </c>
      <c r="B37">
        <v>44</v>
      </c>
      <c r="C37" t="s">
        <v>223</v>
      </c>
      <c r="D37" t="s">
        <v>480</v>
      </c>
      <c r="E37" t="s">
        <v>868</v>
      </c>
      <c r="F37">
        <v>2015</v>
      </c>
      <c r="G37" s="5">
        <v>9.8506944444444445E-4</v>
      </c>
      <c r="H37" s="5">
        <v>9.3761574074074081E-4</v>
      </c>
      <c r="I37" s="5">
        <v>1.9226851851851853E-3</v>
      </c>
      <c r="K37">
        <v>111248</v>
      </c>
      <c r="L37" s="2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9.8506944444444445E-4</v>
      </c>
      <c r="M37" s="3">
        <f>IF(Table127163143556797103[[#This Row],[run 1 times]]="",999.99,IF(Table127163143556797103[[#This Row],[run 1 times]]=$S$3,0,MAX(0,ROUND(((Table127163143556797103[[#This Row],[run 1 times]]-$S$3)/$S$3)*$T$6,2))))</f>
        <v>91.92</v>
      </c>
      <c r="N37" s="2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9.3761574074074081E-4</v>
      </c>
      <c r="O37" s="3">
        <f>IF(Table127163143556797103[[#This Row],[run2 times]]="",999.99,IF(Table127163143556797103[[#This Row],[run2 times]]=$T$3,0,MAX(0,ROUND(((Table127163143556797103[[#This Row],[run2 times]]-$T$3)/$T$3)*$T$6,2))))</f>
        <v>143.05000000000001</v>
      </c>
      <c r="P37" s="2">
        <f>IF(OR(Table127163143556797103[[#This Row],[run 1 times]]="",Table127163143556797103[[#This Row],[run2 times]]=""),"",Table127163143556797103[[#This Row],[run 1 times]]+Table127163143556797103[[#This Row],[run2 times]])</f>
        <v>1.9226851851851853E-3</v>
      </c>
      <c r="Q37" s="3">
        <f>IF(Table127163143556797103[[#This Row],[total time]]="",999.99,IF(Table127163143556797103[[#This Row],[total time]]=$U$3,0,MAX(0,ROUND(((Table127163143556797103[[#This Row],[total time]]-$U$3)/$U$3)*$T$6,2))))</f>
        <v>79.42</v>
      </c>
      <c r="W37">
        <v>36</v>
      </c>
      <c r="X37">
        <v>141</v>
      </c>
      <c r="Y37" t="s">
        <v>257</v>
      </c>
      <c r="Z37" t="s">
        <v>547</v>
      </c>
      <c r="AA37" t="s">
        <v>570</v>
      </c>
      <c r="AB37">
        <v>2010</v>
      </c>
      <c r="AC37" s="1">
        <v>7.3229166666666668E-4</v>
      </c>
      <c r="AD37" s="1">
        <v>7.484953703703704E-4</v>
      </c>
      <c r="AE37" s="1">
        <v>1.480787037037037E-3</v>
      </c>
      <c r="AG37">
        <v>102723</v>
      </c>
      <c r="AH37" s="2">
        <f>_xlfn.LET(_xlpm.x,Table1221101934465870100106[[#This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7.3229166666666668E-4</v>
      </c>
      <c r="AI37" s="3">
        <f>IF(Table1221101934465870100106[[#This Row],[run 1 times]]="",999.99,IF(Table1221101934465870100106[[#This Row],[run 1 times]]=$AO$3,0,MAX(0,ROUND(((Table1221101934465870100106[[#This Row],[run 1 times]]-$AO$3)/$AO$3)*$AO$6,2))))</f>
        <v>135.74</v>
      </c>
      <c r="AJ37" s="2">
        <f>_xlfn.LET(_xlpm.x,Table1221101934465870100106[[#This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7.484953703703704E-4</v>
      </c>
      <c r="AK37" s="3">
        <f>IF(Table1221101934465870100106[[#This Row],[run2 times]]="",999.99,IF(Table1221101934465870100106[[#This Row],[run2 times]]=$AP$3,0,MAX(0,ROUND(((Table1221101934465870100106[[#This Row],[run2 times]]-$AP$3)/$AP$3)*$AO$6,2))))</f>
        <v>95.62</v>
      </c>
      <c r="AL37" s="2">
        <f>IF(OR(Table1221101934465870100106[[#This Row],[run 1 times]]="",Table1221101934465870100106[[#This Row],[run2 times]]=""),"",Table1221101934465870100106[[#This Row],[run 1 times]]+Table1221101934465870100106[[#This Row],[run2 times]])</f>
        <v>1.480787037037037E-3</v>
      </c>
      <c r="AM37" s="3">
        <f>IF(Table1221101934465870100106[[#This Row],[total time]]="",999.99,IF(Table1221101934465870100106[[#This Row],[total time]]=$AQ$3,0,MAX(0,ROUND(((Table1221101934465870100106[[#This Row],[total time]]-$AQ$3)/$AQ$3)*$AO$6,2))))</f>
        <v>114.99</v>
      </c>
    </row>
    <row r="38" spans="1:39" x14ac:dyDescent="0.3">
      <c r="A38">
        <v>43</v>
      </c>
      <c r="B38">
        <v>45</v>
      </c>
      <c r="C38" t="s">
        <v>223</v>
      </c>
      <c r="D38" t="s">
        <v>480</v>
      </c>
      <c r="E38" t="s">
        <v>501</v>
      </c>
      <c r="F38">
        <v>2015</v>
      </c>
      <c r="G38" s="5">
        <v>1.1054398148148147E-3</v>
      </c>
      <c r="H38" s="5">
        <v>1.0347222222222222E-3</v>
      </c>
      <c r="I38" s="5">
        <v>2.1401620370370372E-3</v>
      </c>
      <c r="K38">
        <v>107911</v>
      </c>
      <c r="L38" s="2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1.1054398148148147E-3</v>
      </c>
      <c r="M38" s="3">
        <f>IF(Table127163143556797103[[#This Row],[run 1 times]]="",999.99,IF(Table127163143556797103[[#This Row],[run 1 times]]=$S$3,0,MAX(0,ROUND(((Table127163143556797103[[#This Row],[run 1 times]]-$S$3)/$S$3)*$T$6,2))))</f>
        <v>226.57</v>
      </c>
      <c r="N38" s="2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1.0347222222222222E-3</v>
      </c>
      <c r="O38" s="3">
        <f>IF(Table127163143556797103[[#This Row],[run2 times]]="",999.99,IF(Table127163143556797103[[#This Row],[run2 times]]=$T$3,0,MAX(0,ROUND(((Table127163143556797103[[#This Row],[run2 times]]-$T$3)/$T$3)*$T$6,2))))</f>
        <v>262.45999999999998</v>
      </c>
      <c r="P38" s="2">
        <f>IF(OR(Table127163143556797103[[#This Row],[run 1 times]]="",Table127163143556797103[[#This Row],[run2 times]]=""),"",Table127163143556797103[[#This Row],[run 1 times]]+Table127163143556797103[[#This Row],[run2 times]])</f>
        <v>2.1401620370370368E-3</v>
      </c>
      <c r="Q38" s="3">
        <f>IF(Table127163143556797103[[#This Row],[total time]]="",999.99,IF(Table127163143556797103[[#This Row],[total time]]=$U$3,0,MAX(0,ROUND(((Table127163143556797103[[#This Row],[total time]]-$U$3)/$U$3)*$T$6,2))))</f>
        <v>202.64</v>
      </c>
      <c r="W38">
        <v>21</v>
      </c>
      <c r="X38">
        <v>126</v>
      </c>
      <c r="Y38" t="s">
        <v>257</v>
      </c>
      <c r="Z38" t="s">
        <v>547</v>
      </c>
      <c r="AA38" t="s">
        <v>576</v>
      </c>
      <c r="AB38">
        <v>2010</v>
      </c>
      <c r="AC38" s="1" t="s">
        <v>510</v>
      </c>
      <c r="AD38" s="1" t="s">
        <v>510</v>
      </c>
      <c r="AE38" s="1"/>
      <c r="AG38">
        <v>92169</v>
      </c>
      <c r="AH38" s="2" t="str">
        <f>_xlfn.LET(_xlpm.x,Table1221101934465870100106[[#This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38" s="3">
        <f>IF(Table1221101934465870100106[[#This Row],[run 1 times]]="",999.99,IF(Table1221101934465870100106[[#This Row],[run 1 times]]=$AO$3,0,MAX(0,ROUND(((Table1221101934465870100106[[#This Row],[run 1 times]]-$AO$3)/$AO$3)*$AO$6,2))))</f>
        <v>999.99</v>
      </c>
      <c r="AJ38" s="2" t="str">
        <f>_xlfn.LET(_xlpm.x,Table1221101934465870100106[[#This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38" s="3">
        <f>IF(Table1221101934465870100106[[#This Row],[run2 times]]="",999.99,IF(Table1221101934465870100106[[#This Row],[run2 times]]=$AP$3,0,MAX(0,ROUND(((Table1221101934465870100106[[#This Row],[run2 times]]-$AP$3)/$AP$3)*$AO$6,2))))</f>
        <v>999.99</v>
      </c>
      <c r="AL38" s="2" t="str">
        <f>IF(OR(Table1221101934465870100106[[#This Row],[run 1 times]]="",Table1221101934465870100106[[#This Row],[run2 times]]=""),"",Table1221101934465870100106[[#This Row],[run 1 times]]+Table1221101934465870100106[[#This Row],[run2 times]])</f>
        <v/>
      </c>
      <c r="AM38" s="3">
        <f>IF(Table1221101934465870100106[[#This Row],[total time]]="",999.99,IF(Table1221101934465870100106[[#This Row],[total time]]=$AQ$3,0,MAX(0,ROUND(((Table1221101934465870100106[[#This Row],[total time]]-$AQ$3)/$AQ$3)*$AO$6,2))))</f>
        <v>999.99</v>
      </c>
    </row>
    <row r="39" spans="1:39" x14ac:dyDescent="0.3">
      <c r="A39">
        <v>45</v>
      </c>
      <c r="B39">
        <v>47</v>
      </c>
      <c r="C39" t="s">
        <v>257</v>
      </c>
      <c r="D39" t="s">
        <v>480</v>
      </c>
      <c r="E39" t="s">
        <v>505</v>
      </c>
      <c r="F39">
        <v>2015</v>
      </c>
      <c r="G39" t="s">
        <v>510</v>
      </c>
      <c r="H39" s="5">
        <v>1.1849537037037037E-3</v>
      </c>
      <c r="K39">
        <v>119081</v>
      </c>
      <c r="L39" s="2" t="str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39" s="3">
        <f>IF(Table127163143556797103[[#This Row],[run 1 times]]="",999.99,IF(Table127163143556797103[[#This Row],[run 1 times]]=$S$3,0,MAX(0,ROUND(((Table127163143556797103[[#This Row],[run 1 times]]-$S$3)/$S$3)*$T$6,2))))</f>
        <v>999.99</v>
      </c>
      <c r="N39" s="2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1.1849537037037037E-3</v>
      </c>
      <c r="O39" s="3">
        <f>IF(Table127163143556797103[[#This Row],[run2 times]]="",999.99,IF(Table127163143556797103[[#This Row],[run2 times]]=$T$3,0,MAX(0,ROUND(((Table127163143556797103[[#This Row],[run2 times]]-$T$3)/$T$3)*$T$6,2))))</f>
        <v>447.21</v>
      </c>
      <c r="P39" s="2" t="str">
        <f>IF(OR(Table127163143556797103[[#This Row],[run 1 times]]="",Table127163143556797103[[#This Row],[run2 times]]=""),"",Table127163143556797103[[#This Row],[run 1 times]]+Table127163143556797103[[#This Row],[run2 times]])</f>
        <v/>
      </c>
      <c r="Q39" s="3">
        <f>IF(Table127163143556797103[[#This Row],[total time]]="",999.99,IF(Table127163143556797103[[#This Row],[total time]]=$U$3,0,MAX(0,ROUND(((Table127163143556797103[[#This Row],[total time]]-$U$3)/$U$3)*$T$6,2))))</f>
        <v>999.99</v>
      </c>
    </row>
    <row r="40" spans="1:39" x14ac:dyDescent="0.3">
      <c r="A40">
        <v>46</v>
      </c>
      <c r="B40">
        <v>48</v>
      </c>
      <c r="C40" t="s">
        <v>479</v>
      </c>
      <c r="D40" t="s">
        <v>522</v>
      </c>
      <c r="E40" t="s">
        <v>531</v>
      </c>
      <c r="F40">
        <v>2012</v>
      </c>
      <c r="G40" t="s">
        <v>512</v>
      </c>
      <c r="H40" s="5">
        <v>9.25462962962963E-4</v>
      </c>
      <c r="K40">
        <v>101437</v>
      </c>
      <c r="L40" s="2" t="str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40" s="3">
        <f>IF(Table127163143556797103[[#This Row],[run 1 times]]="",999.99,IF(Table127163143556797103[[#This Row],[run 1 times]]=$S$3,0,MAX(0,ROUND(((Table127163143556797103[[#This Row],[run 1 times]]-$S$3)/$S$3)*$T$6,2))))</f>
        <v>999.99</v>
      </c>
      <c r="N40" s="2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9.25462962962963E-4</v>
      </c>
      <c r="O40" s="3">
        <f>IF(Table127163143556797103[[#This Row],[run2 times]]="",999.99,IF(Table127163143556797103[[#This Row],[run2 times]]=$T$3,0,MAX(0,ROUND(((Table127163143556797103[[#This Row],[run2 times]]-$T$3)/$T$3)*$T$6,2))))</f>
        <v>128.1</v>
      </c>
      <c r="P40" s="2" t="str">
        <f>IF(OR(Table127163143556797103[[#This Row],[run 1 times]]="",Table127163143556797103[[#This Row],[run2 times]]=""),"",Table127163143556797103[[#This Row],[run 1 times]]+Table127163143556797103[[#This Row],[run2 times]])</f>
        <v/>
      </c>
      <c r="Q40" s="3">
        <f>IF(Table127163143556797103[[#This Row],[total time]]="",999.99,IF(Table127163143556797103[[#This Row],[total time]]=$U$3,0,MAX(0,ROUND(((Table127163143556797103[[#This Row],[total time]]-$U$3)/$U$3)*$T$6,2))))</f>
        <v>999.99</v>
      </c>
    </row>
    <row r="41" spans="1:39" x14ac:dyDescent="0.3">
      <c r="A41">
        <v>47</v>
      </c>
      <c r="B41">
        <v>49</v>
      </c>
      <c r="C41" t="s">
        <v>24</v>
      </c>
      <c r="D41" t="s">
        <v>522</v>
      </c>
      <c r="E41" t="s">
        <v>533</v>
      </c>
      <c r="F41">
        <v>2013</v>
      </c>
      <c r="G41" s="5">
        <v>9.4201388888888894E-4</v>
      </c>
      <c r="H41" s="5">
        <v>8.6284722222222221E-4</v>
      </c>
      <c r="I41" s="5">
        <v>1.804861111111111E-3</v>
      </c>
      <c r="K41">
        <v>104666</v>
      </c>
      <c r="L41" s="2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9.4201388888888894E-4</v>
      </c>
      <c r="M41" s="3">
        <f>IF(Table127163143556797103[[#This Row],[run 1 times]]="",999.99,IF(Table127163143556797103[[#This Row],[run 1 times]]=$S$3,0,MAX(0,ROUND(((Table127163143556797103[[#This Row],[run 1 times]]-$S$3)/$S$3)*$T$6,2))))</f>
        <v>43.76</v>
      </c>
      <c r="N41" s="2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8.6284722222222221E-4</v>
      </c>
      <c r="O41" s="3">
        <f>IF(Table127163143556797103[[#This Row],[run2 times]]="",999.99,IF(Table127163143556797103[[#This Row],[run2 times]]=$T$3,0,MAX(0,ROUND(((Table127163143556797103[[#This Row],[run2 times]]-$T$3)/$T$3)*$T$6,2))))</f>
        <v>51.1</v>
      </c>
      <c r="P41" s="2">
        <f>IF(OR(Table127163143556797103[[#This Row],[run 1 times]]="",Table127163143556797103[[#This Row],[run2 times]]=""),"",Table127163143556797103[[#This Row],[run 1 times]]+Table127163143556797103[[#This Row],[run2 times]])</f>
        <v>1.8048611111111112E-3</v>
      </c>
      <c r="Q41" s="3">
        <f>IF(Table127163143556797103[[#This Row],[total time]]="",999.99,IF(Table127163143556797103[[#This Row],[total time]]=$U$3,0,MAX(0,ROUND(((Table127163143556797103[[#This Row],[total time]]-$U$3)/$U$3)*$T$6,2))))</f>
        <v>12.66</v>
      </c>
    </row>
    <row r="42" spans="1:39" x14ac:dyDescent="0.3">
      <c r="A42">
        <v>48</v>
      </c>
      <c r="B42">
        <v>50</v>
      </c>
      <c r="C42" t="s">
        <v>487</v>
      </c>
      <c r="D42" t="s">
        <v>522</v>
      </c>
      <c r="E42" t="s">
        <v>870</v>
      </c>
      <c r="F42">
        <v>2013</v>
      </c>
      <c r="G42" s="5">
        <v>1.0886574074074073E-3</v>
      </c>
      <c r="H42" s="5">
        <v>9.9120370370370378E-4</v>
      </c>
      <c r="I42" s="5">
        <v>2.0798611111111109E-3</v>
      </c>
      <c r="K42">
        <v>121030</v>
      </c>
      <c r="L42" s="2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1.0886574074074073E-3</v>
      </c>
      <c r="M42" s="3">
        <f>IF(Table127163143556797103[[#This Row],[run 1 times]]="",999.99,IF(Table127163143556797103[[#This Row],[run 1 times]]=$S$3,0,MAX(0,ROUND(((Table127163143556797103[[#This Row],[run 1 times]]-$S$3)/$S$3)*$T$6,2))))</f>
        <v>207.8</v>
      </c>
      <c r="N42" s="2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9.9120370370370378E-4</v>
      </c>
      <c r="O42" s="3">
        <f>IF(Table127163143556797103[[#This Row],[run2 times]]="",999.99,IF(Table127163143556797103[[#This Row],[run2 times]]=$T$3,0,MAX(0,ROUND(((Table127163143556797103[[#This Row],[run2 times]]-$T$3)/$T$3)*$T$6,2))))</f>
        <v>208.95</v>
      </c>
      <c r="P42" s="2">
        <f>IF(OR(Table127163143556797103[[#This Row],[run 1 times]]="",Table127163143556797103[[#This Row],[run2 times]]=""),"",Table127163143556797103[[#This Row],[run 1 times]]+Table127163143556797103[[#This Row],[run2 times]])</f>
        <v>2.0798611111111113E-3</v>
      </c>
      <c r="Q42" s="3">
        <f>IF(Table127163143556797103[[#This Row],[total time]]="",999.99,IF(Table127163143556797103[[#This Row],[total time]]=$U$3,0,MAX(0,ROUND(((Table127163143556797103[[#This Row],[total time]]-$U$3)/$U$3)*$T$6,2))))</f>
        <v>168.48</v>
      </c>
    </row>
    <row r="43" spans="1:39" x14ac:dyDescent="0.3">
      <c r="A43">
        <v>50</v>
      </c>
      <c r="B43">
        <v>52</v>
      </c>
      <c r="C43" t="s">
        <v>223</v>
      </c>
      <c r="D43" t="s">
        <v>522</v>
      </c>
      <c r="E43" t="s">
        <v>538</v>
      </c>
      <c r="F43">
        <v>2012</v>
      </c>
      <c r="G43" s="5">
        <v>9.3217592592592582E-4</v>
      </c>
      <c r="H43" s="5">
        <v>8.8043981481481469E-4</v>
      </c>
      <c r="I43" s="5">
        <v>1.8126157407407409E-3</v>
      </c>
      <c r="K43">
        <v>102457</v>
      </c>
      <c r="L43" s="2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9.3217592592592582E-4</v>
      </c>
      <c r="M43" s="3">
        <f>IF(Table127163143556797103[[#This Row],[run 1 times]]="",999.99,IF(Table127163143556797103[[#This Row],[run 1 times]]=$S$3,0,MAX(0,ROUND(((Table127163143556797103[[#This Row],[run 1 times]]-$S$3)/$S$3)*$T$6,2))))</f>
        <v>32.76</v>
      </c>
      <c r="N43" s="2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8.8043981481481469E-4</v>
      </c>
      <c r="O43" s="3">
        <f>IF(Table127163143556797103[[#This Row],[run2 times]]="",999.99,IF(Table127163143556797103[[#This Row],[run2 times]]=$T$3,0,MAX(0,ROUND(((Table127163143556797103[[#This Row],[run2 times]]-$T$3)/$T$3)*$T$6,2))))</f>
        <v>72.73</v>
      </c>
      <c r="P43" s="2">
        <f>IF(OR(Table127163143556797103[[#This Row],[run 1 times]]="",Table127163143556797103[[#This Row],[run2 times]]=""),"",Table127163143556797103[[#This Row],[run 1 times]]+Table127163143556797103[[#This Row],[run2 times]])</f>
        <v>1.8126157407407405E-3</v>
      </c>
      <c r="Q43" s="3">
        <f>IF(Table127163143556797103[[#This Row],[total time]]="",999.99,IF(Table127163143556797103[[#This Row],[total time]]=$U$3,0,MAX(0,ROUND(((Table127163143556797103[[#This Row],[total time]]-$U$3)/$U$3)*$T$6,2))))</f>
        <v>17.05</v>
      </c>
    </row>
    <row r="44" spans="1:39" x14ac:dyDescent="0.3">
      <c r="A44">
        <v>51</v>
      </c>
      <c r="B44">
        <v>53</v>
      </c>
      <c r="C44" t="s">
        <v>479</v>
      </c>
      <c r="D44" t="s">
        <v>522</v>
      </c>
      <c r="E44" t="s">
        <v>523</v>
      </c>
      <c r="F44">
        <v>2012</v>
      </c>
      <c r="G44" s="5">
        <v>9.0289351851851858E-4</v>
      </c>
      <c r="H44" t="s">
        <v>512</v>
      </c>
      <c r="K44">
        <v>94923</v>
      </c>
      <c r="L44" s="2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9.0289351851851858E-4</v>
      </c>
      <c r="M44" s="3">
        <f>IF(Table127163143556797103[[#This Row],[run 1 times]]="",999.99,IF(Table127163143556797103[[#This Row],[run 1 times]]=$S$3,0,MAX(0,ROUND(((Table127163143556797103[[#This Row],[run 1 times]]-$S$3)/$S$3)*$T$6,2))))</f>
        <v>0</v>
      </c>
      <c r="N44" s="2" t="str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44" s="3">
        <f>IF(Table127163143556797103[[#This Row],[run2 times]]="",999.99,IF(Table127163143556797103[[#This Row],[run2 times]]=$T$3,0,MAX(0,ROUND(((Table127163143556797103[[#This Row],[run2 times]]-$T$3)/$T$3)*$T$6,2))))</f>
        <v>999.99</v>
      </c>
      <c r="P44" s="2" t="str">
        <f>IF(OR(Table127163143556797103[[#This Row],[run 1 times]]="",Table127163143556797103[[#This Row],[run2 times]]=""),"",Table127163143556797103[[#This Row],[run 1 times]]+Table127163143556797103[[#This Row],[run2 times]])</f>
        <v/>
      </c>
      <c r="Q44" s="3">
        <f>IF(Table127163143556797103[[#This Row],[total time]]="",999.99,IF(Table127163143556797103[[#This Row],[total time]]=$U$3,0,MAX(0,ROUND(((Table127163143556797103[[#This Row],[total time]]-$U$3)/$U$3)*$T$6,2))))</f>
        <v>999.99</v>
      </c>
    </row>
    <row r="45" spans="1:39" x14ac:dyDescent="0.3">
      <c r="A45">
        <v>52</v>
      </c>
      <c r="B45">
        <v>54</v>
      </c>
      <c r="C45" t="s">
        <v>487</v>
      </c>
      <c r="D45" t="s">
        <v>480</v>
      </c>
      <c r="E45" t="s">
        <v>516</v>
      </c>
      <c r="F45">
        <v>2014</v>
      </c>
      <c r="G45" s="5">
        <v>1.1005787037037037E-3</v>
      </c>
      <c r="H45" s="5">
        <v>1.0085648148148148E-3</v>
      </c>
      <c r="I45" s="5">
        <v>2.1091435185185184E-3</v>
      </c>
      <c r="K45">
        <v>118201</v>
      </c>
      <c r="L45" s="2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1.1005787037037037E-3</v>
      </c>
      <c r="M45" s="3">
        <f>IF(Table127163143556797103[[#This Row],[run 1 times]]="",999.99,IF(Table127163143556797103[[#This Row],[run 1 times]]=$S$3,0,MAX(0,ROUND(((Table127163143556797103[[#This Row],[run 1 times]]-$S$3)/$S$3)*$T$6,2))))</f>
        <v>221.14</v>
      </c>
      <c r="N45" s="2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1.0085648148148148E-3</v>
      </c>
      <c r="O45" s="3">
        <f>IF(Table127163143556797103[[#This Row],[run2 times]]="",999.99,IF(Table127163143556797103[[#This Row],[run2 times]]=$T$3,0,MAX(0,ROUND(((Table127163143556797103[[#This Row],[run2 times]]-$T$3)/$T$3)*$T$6,2))))</f>
        <v>230.3</v>
      </c>
      <c r="P45" s="2">
        <f>IF(OR(Table127163143556797103[[#This Row],[run 1 times]]="",Table127163143556797103[[#This Row],[run2 times]]=""),"",Table127163143556797103[[#This Row],[run 1 times]]+Table127163143556797103[[#This Row],[run2 times]])</f>
        <v>2.1091435185185184E-3</v>
      </c>
      <c r="Q45" s="3">
        <f>IF(Table127163143556797103[[#This Row],[total time]]="",999.99,IF(Table127163143556797103[[#This Row],[total time]]=$U$3,0,MAX(0,ROUND(((Table127163143556797103[[#This Row],[total time]]-$U$3)/$U$3)*$T$6,2))))</f>
        <v>185.07</v>
      </c>
    </row>
    <row r="46" spans="1:39" x14ac:dyDescent="0.3">
      <c r="A46">
        <v>9</v>
      </c>
      <c r="B46">
        <v>9</v>
      </c>
      <c r="C46" t="s">
        <v>851</v>
      </c>
      <c r="D46" t="s">
        <v>522</v>
      </c>
      <c r="E46" t="s">
        <v>852</v>
      </c>
      <c r="F46">
        <v>2012</v>
      </c>
      <c r="G46" t="s">
        <v>510</v>
      </c>
      <c r="H46" t="s">
        <v>510</v>
      </c>
      <c r="K46">
        <v>6962203</v>
      </c>
      <c r="L46" s="2" t="str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46" s="3">
        <f>IF(Table127163143556797103[[#This Row],[run 1 times]]="",999.99,IF(Table127163143556797103[[#This Row],[run 1 times]]=$S$3,0,MAX(0,ROUND(((Table127163143556797103[[#This Row],[run 1 times]]-$S$3)/$S$3)*$T$6,2))))</f>
        <v>999.99</v>
      </c>
      <c r="N46" s="2" t="str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46" s="3">
        <f>IF(Table127163143556797103[[#This Row],[run2 times]]="",999.99,IF(Table127163143556797103[[#This Row],[run2 times]]=$T$3,0,MAX(0,ROUND(((Table127163143556797103[[#This Row],[run2 times]]-$T$3)/$T$3)*$T$6,2))))</f>
        <v>999.99</v>
      </c>
      <c r="P46" s="2" t="str">
        <f>IF(OR(Table127163143556797103[[#This Row],[run 1 times]]="",Table127163143556797103[[#This Row],[run2 times]]=""),"",Table127163143556797103[[#This Row],[run 1 times]]+Table127163143556797103[[#This Row],[run2 times]])</f>
        <v/>
      </c>
      <c r="Q46" s="3">
        <f>IF(Table127163143556797103[[#This Row],[total time]]="",999.99,IF(Table127163143556797103[[#This Row],[total time]]=$U$3,0,MAX(0,ROUND(((Table127163143556797103[[#This Row],[total time]]-$U$3)/$U$3)*$T$6,2))))</f>
        <v>999.99</v>
      </c>
    </row>
    <row r="47" spans="1:39" x14ac:dyDescent="0.3">
      <c r="A47">
        <v>12</v>
      </c>
      <c r="B47">
        <v>12</v>
      </c>
      <c r="C47" t="s">
        <v>851</v>
      </c>
      <c r="D47" t="s">
        <v>522</v>
      </c>
      <c r="E47" t="s">
        <v>855</v>
      </c>
      <c r="F47">
        <v>2013</v>
      </c>
      <c r="G47" t="s">
        <v>510</v>
      </c>
      <c r="H47" t="s">
        <v>510</v>
      </c>
      <c r="K47">
        <v>7411518</v>
      </c>
      <c r="L47" s="2" t="str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47" s="3">
        <f>IF(Table127163143556797103[[#This Row],[run 1 times]]="",999.99,IF(Table127163143556797103[[#This Row],[run 1 times]]=$S$3,0,MAX(0,ROUND(((Table127163143556797103[[#This Row],[run 1 times]]-$S$3)/$S$3)*$T$6,2))))</f>
        <v>999.99</v>
      </c>
      <c r="N47" s="2" t="str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47" s="3">
        <f>IF(Table127163143556797103[[#This Row],[run2 times]]="",999.99,IF(Table127163143556797103[[#This Row],[run2 times]]=$T$3,0,MAX(0,ROUND(((Table127163143556797103[[#This Row],[run2 times]]-$T$3)/$T$3)*$T$6,2))))</f>
        <v>999.99</v>
      </c>
      <c r="P47" s="2" t="str">
        <f>IF(OR(Table127163143556797103[[#This Row],[run 1 times]]="",Table127163143556797103[[#This Row],[run2 times]]=""),"",Table127163143556797103[[#This Row],[run 1 times]]+Table127163143556797103[[#This Row],[run2 times]])</f>
        <v/>
      </c>
      <c r="Q47" s="3">
        <f>IF(Table127163143556797103[[#This Row],[total time]]="",999.99,IF(Table127163143556797103[[#This Row],[total time]]=$U$3,0,MAX(0,ROUND(((Table127163143556797103[[#This Row],[total time]]-$U$3)/$U$3)*$T$6,2))))</f>
        <v>999.99</v>
      </c>
    </row>
    <row r="48" spans="1:39" x14ac:dyDescent="0.3">
      <c r="A48">
        <v>15</v>
      </c>
      <c r="B48">
        <v>15</v>
      </c>
      <c r="C48" t="s">
        <v>487</v>
      </c>
      <c r="D48" t="s">
        <v>522</v>
      </c>
      <c r="E48" t="s">
        <v>856</v>
      </c>
      <c r="F48">
        <v>2012</v>
      </c>
      <c r="G48" t="s">
        <v>510</v>
      </c>
      <c r="H48" t="s">
        <v>510</v>
      </c>
      <c r="K48">
        <v>108840</v>
      </c>
      <c r="L48" s="2" t="str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48" s="3">
        <f>IF(Table127163143556797103[[#This Row],[run 1 times]]="",999.99,IF(Table127163143556797103[[#This Row],[run 1 times]]=$S$3,0,MAX(0,ROUND(((Table127163143556797103[[#This Row],[run 1 times]]-$S$3)/$S$3)*$T$6,2))))</f>
        <v>999.99</v>
      </c>
      <c r="N48" s="2" t="str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48" s="3">
        <f>IF(Table127163143556797103[[#This Row],[run2 times]]="",999.99,IF(Table127163143556797103[[#This Row],[run2 times]]=$T$3,0,MAX(0,ROUND(((Table127163143556797103[[#This Row],[run2 times]]-$T$3)/$T$3)*$T$6,2))))</f>
        <v>999.99</v>
      </c>
      <c r="P48" s="2" t="str">
        <f>IF(OR(Table127163143556797103[[#This Row],[run 1 times]]="",Table127163143556797103[[#This Row],[run2 times]]=""),"",Table127163143556797103[[#This Row],[run 1 times]]+Table127163143556797103[[#This Row],[run2 times]])</f>
        <v/>
      </c>
      <c r="Q48" s="3">
        <f>IF(Table127163143556797103[[#This Row],[total time]]="",999.99,IF(Table127163143556797103[[#This Row],[total time]]=$U$3,0,MAX(0,ROUND(((Table127163143556797103[[#This Row],[total time]]-$U$3)/$U$3)*$T$6,2))))</f>
        <v>999.99</v>
      </c>
    </row>
    <row r="49" spans="1:17" x14ac:dyDescent="0.3">
      <c r="A49">
        <v>23</v>
      </c>
      <c r="B49">
        <v>23</v>
      </c>
      <c r="C49" t="s">
        <v>851</v>
      </c>
      <c r="D49" t="s">
        <v>522</v>
      </c>
      <c r="E49" t="s">
        <v>860</v>
      </c>
      <c r="F49">
        <v>2012</v>
      </c>
      <c r="G49" t="s">
        <v>510</v>
      </c>
      <c r="H49" t="s">
        <v>510</v>
      </c>
      <c r="K49">
        <v>6952703</v>
      </c>
      <c r="L49" s="2" t="str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49" s="3">
        <f>IF(Table127163143556797103[[#This Row],[run 1 times]]="",999.99,IF(Table127163143556797103[[#This Row],[run 1 times]]=$S$3,0,MAX(0,ROUND(((Table127163143556797103[[#This Row],[run 1 times]]-$S$3)/$S$3)*$T$6,2))))</f>
        <v>999.99</v>
      </c>
      <c r="N49" s="2" t="str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49" s="3">
        <f>IF(Table127163143556797103[[#This Row],[run2 times]]="",999.99,IF(Table127163143556797103[[#This Row],[run2 times]]=$T$3,0,MAX(0,ROUND(((Table127163143556797103[[#This Row],[run2 times]]-$T$3)/$T$3)*$T$6,2))))</f>
        <v>999.99</v>
      </c>
      <c r="P49" s="2" t="str">
        <f>IF(OR(Table127163143556797103[[#This Row],[run 1 times]]="",Table127163143556797103[[#This Row],[run2 times]]=""),"",Table127163143556797103[[#This Row],[run 1 times]]+Table127163143556797103[[#This Row],[run2 times]])</f>
        <v/>
      </c>
      <c r="Q49" s="3">
        <f>IF(Table127163143556797103[[#This Row],[total time]]="",999.99,IF(Table127163143556797103[[#This Row],[total time]]=$U$3,0,MAX(0,ROUND(((Table127163143556797103[[#This Row],[total time]]-$U$3)/$U$3)*$T$6,2))))</f>
        <v>999.99</v>
      </c>
    </row>
    <row r="50" spans="1:17" x14ac:dyDescent="0.3">
      <c r="A50">
        <v>25</v>
      </c>
      <c r="B50">
        <v>25</v>
      </c>
      <c r="C50" t="s">
        <v>851</v>
      </c>
      <c r="D50" t="s">
        <v>522</v>
      </c>
      <c r="E50" t="s">
        <v>862</v>
      </c>
      <c r="F50">
        <v>2012</v>
      </c>
      <c r="G50" t="s">
        <v>510</v>
      </c>
      <c r="H50" t="s">
        <v>510</v>
      </c>
      <c r="K50">
        <v>7226454</v>
      </c>
      <c r="L50" s="2" t="str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50" s="3">
        <f>IF(Table127163143556797103[[#This Row],[run 1 times]]="",999.99,IF(Table127163143556797103[[#This Row],[run 1 times]]=$S$3,0,MAX(0,ROUND(((Table127163143556797103[[#This Row],[run 1 times]]-$S$3)/$S$3)*$T$6,2))))</f>
        <v>999.99</v>
      </c>
      <c r="N50" s="2" t="str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50" s="3">
        <f>IF(Table127163143556797103[[#This Row],[run2 times]]="",999.99,IF(Table127163143556797103[[#This Row],[run2 times]]=$T$3,0,MAX(0,ROUND(((Table127163143556797103[[#This Row],[run2 times]]-$T$3)/$T$3)*$T$6,2))))</f>
        <v>999.99</v>
      </c>
      <c r="P50" s="2" t="str">
        <f>IF(OR(Table127163143556797103[[#This Row],[run 1 times]]="",Table127163143556797103[[#This Row],[run2 times]]=""),"",Table127163143556797103[[#This Row],[run 1 times]]+Table127163143556797103[[#This Row],[run2 times]])</f>
        <v/>
      </c>
      <c r="Q50" s="3">
        <f>IF(Table127163143556797103[[#This Row],[total time]]="",999.99,IF(Table127163143556797103[[#This Row],[total time]]=$U$3,0,MAX(0,ROUND(((Table127163143556797103[[#This Row],[total time]]-$U$3)/$U$3)*$T$6,2))))</f>
        <v>999.99</v>
      </c>
    </row>
    <row r="51" spans="1:17" x14ac:dyDescent="0.3">
      <c r="A51">
        <v>37</v>
      </c>
      <c r="B51">
        <v>39</v>
      </c>
      <c r="C51" t="s">
        <v>851</v>
      </c>
      <c r="D51" t="s">
        <v>522</v>
      </c>
      <c r="E51" t="s">
        <v>872</v>
      </c>
      <c r="F51">
        <v>2013</v>
      </c>
      <c r="G51" t="s">
        <v>510</v>
      </c>
      <c r="H51" t="s">
        <v>510</v>
      </c>
      <c r="K51">
        <v>6991747</v>
      </c>
      <c r="L51" s="2" t="str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51" s="3">
        <f>IF(Table127163143556797103[[#This Row],[run 1 times]]="",999.99,IF(Table127163143556797103[[#This Row],[run 1 times]]=$S$3,0,MAX(0,ROUND(((Table127163143556797103[[#This Row],[run 1 times]]-$S$3)/$S$3)*$T$6,2))))</f>
        <v>999.99</v>
      </c>
      <c r="N51" s="2" t="str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51" s="3">
        <f>IF(Table127163143556797103[[#This Row],[run2 times]]="",999.99,IF(Table127163143556797103[[#This Row],[run2 times]]=$T$3,0,MAX(0,ROUND(((Table127163143556797103[[#This Row],[run2 times]]-$T$3)/$T$3)*$T$6,2))))</f>
        <v>999.99</v>
      </c>
      <c r="P51" s="2" t="str">
        <f>IF(OR(Table127163143556797103[[#This Row],[run 1 times]]="",Table127163143556797103[[#This Row],[run2 times]]=""),"",Table127163143556797103[[#This Row],[run 1 times]]+Table127163143556797103[[#This Row],[run2 times]])</f>
        <v/>
      </c>
      <c r="Q51" s="3">
        <f>IF(Table127163143556797103[[#This Row],[total time]]="",999.99,IF(Table127163143556797103[[#This Row],[total time]]=$U$3,0,MAX(0,ROUND(((Table127163143556797103[[#This Row],[total time]]-$U$3)/$U$3)*$T$6,2))))</f>
        <v>999.99</v>
      </c>
    </row>
    <row r="52" spans="1:17" x14ac:dyDescent="0.3">
      <c r="A52">
        <v>39</v>
      </c>
      <c r="B52">
        <v>41</v>
      </c>
      <c r="C52" t="s">
        <v>851</v>
      </c>
      <c r="D52" t="s">
        <v>522</v>
      </c>
      <c r="E52" t="s">
        <v>866</v>
      </c>
      <c r="F52">
        <v>2013</v>
      </c>
      <c r="G52" t="s">
        <v>510</v>
      </c>
      <c r="H52" t="s">
        <v>510</v>
      </c>
      <c r="K52">
        <v>7225977</v>
      </c>
      <c r="L52" s="2" t="str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52" s="3">
        <f>IF(Table127163143556797103[[#This Row],[run 1 times]]="",999.99,IF(Table127163143556797103[[#This Row],[run 1 times]]=$S$3,0,MAX(0,ROUND(((Table127163143556797103[[#This Row],[run 1 times]]-$S$3)/$S$3)*$T$6,2))))</f>
        <v>999.99</v>
      </c>
      <c r="N52" s="2" t="str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52" s="3">
        <f>IF(Table127163143556797103[[#This Row],[run2 times]]="",999.99,IF(Table127163143556797103[[#This Row],[run2 times]]=$T$3,0,MAX(0,ROUND(((Table127163143556797103[[#This Row],[run2 times]]-$T$3)/$T$3)*$T$6,2))))</f>
        <v>999.99</v>
      </c>
      <c r="P52" s="2" t="str">
        <f>IF(OR(Table127163143556797103[[#This Row],[run 1 times]]="",Table127163143556797103[[#This Row],[run2 times]]=""),"",Table127163143556797103[[#This Row],[run 1 times]]+Table127163143556797103[[#This Row],[run2 times]])</f>
        <v/>
      </c>
      <c r="Q52" s="3">
        <f>IF(Table127163143556797103[[#This Row],[total time]]="",999.99,IF(Table127163143556797103[[#This Row],[total time]]=$U$3,0,MAX(0,ROUND(((Table127163143556797103[[#This Row],[total time]]-$U$3)/$U$3)*$T$6,2))))</f>
        <v>999.99</v>
      </c>
    </row>
    <row r="53" spans="1:17" x14ac:dyDescent="0.3">
      <c r="A53">
        <v>44</v>
      </c>
      <c r="B53">
        <v>46</v>
      </c>
      <c r="C53" t="s">
        <v>851</v>
      </c>
      <c r="D53" t="s">
        <v>522</v>
      </c>
      <c r="E53" t="s">
        <v>869</v>
      </c>
      <c r="F53">
        <v>2012</v>
      </c>
      <c r="G53" t="s">
        <v>510</v>
      </c>
      <c r="H53" t="s">
        <v>510</v>
      </c>
      <c r="K53">
        <v>6991409</v>
      </c>
      <c r="L53" s="2" t="str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53" s="3">
        <f>IF(Table127163143556797103[[#This Row],[run 1 times]]="",999.99,IF(Table127163143556797103[[#This Row],[run 1 times]]=$S$3,0,MAX(0,ROUND(((Table127163143556797103[[#This Row],[run 1 times]]-$S$3)/$S$3)*$T$6,2))))</f>
        <v>999.99</v>
      </c>
      <c r="N53" s="2" t="str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53" s="3">
        <f>IF(Table127163143556797103[[#This Row],[run2 times]]="",999.99,IF(Table127163143556797103[[#This Row],[run2 times]]=$T$3,0,MAX(0,ROUND(((Table127163143556797103[[#This Row],[run2 times]]-$T$3)/$T$3)*$T$6,2))))</f>
        <v>999.99</v>
      </c>
      <c r="P53" s="2" t="str">
        <f>IF(OR(Table127163143556797103[[#This Row],[run 1 times]]="",Table127163143556797103[[#This Row],[run2 times]]=""),"",Table127163143556797103[[#This Row],[run 1 times]]+Table127163143556797103[[#This Row],[run2 times]])</f>
        <v/>
      </c>
      <c r="Q53" s="3">
        <f>IF(Table127163143556797103[[#This Row],[total time]]="",999.99,IF(Table127163143556797103[[#This Row],[total time]]=$U$3,0,MAX(0,ROUND(((Table127163143556797103[[#This Row],[total time]]-$U$3)/$U$3)*$T$6,2))))</f>
        <v>999.99</v>
      </c>
    </row>
    <row r="54" spans="1:17" x14ac:dyDescent="0.3">
      <c r="A54">
        <v>49</v>
      </c>
      <c r="B54">
        <v>51</v>
      </c>
      <c r="C54" t="s">
        <v>851</v>
      </c>
      <c r="D54" t="s">
        <v>522</v>
      </c>
      <c r="E54" t="s">
        <v>871</v>
      </c>
      <c r="F54">
        <v>2012</v>
      </c>
      <c r="G54" t="s">
        <v>510</v>
      </c>
      <c r="H54" t="s">
        <v>510</v>
      </c>
      <c r="K54">
        <v>6991900</v>
      </c>
      <c r="L54" s="2" t="str">
        <f>_xlfn.LET(_xlpm.x,Table127163143556797103[[#This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54" s="3">
        <f>IF(Table127163143556797103[[#This Row],[run 1 times]]="",999.99,IF(Table127163143556797103[[#This Row],[run 1 times]]=$S$3,0,MAX(0,ROUND(((Table127163143556797103[[#This Row],[run 1 times]]-$S$3)/$S$3)*$T$6,2))))</f>
        <v>999.99</v>
      </c>
      <c r="N54" s="2" t="str">
        <f>_xlfn.LET(_xlpm.x,Table127163143556797103[[#This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54" s="3">
        <f>IF(Table127163143556797103[[#This Row],[run2 times]]="",999.99,IF(Table127163143556797103[[#This Row],[run2 times]]=$T$3,0,MAX(0,ROUND(((Table127163143556797103[[#This Row],[run2 times]]-$T$3)/$T$3)*$T$6,2))))</f>
        <v>999.99</v>
      </c>
      <c r="P54" s="2" t="str">
        <f>IF(OR(Table127163143556797103[[#This Row],[run 1 times]]="",Table127163143556797103[[#This Row],[run2 times]]=""),"",Table127163143556797103[[#This Row],[run 1 times]]+Table127163143556797103[[#This Row],[run2 times]])</f>
        <v/>
      </c>
      <c r="Q54" s="3">
        <f>IF(Table127163143556797103[[#This Row],[total time]]="",999.99,IF(Table127163143556797103[[#This Row],[total time]]=$U$3,0,MAX(0,ROUND(((Table127163143556797103[[#This Row],[total time]]-$U$3)/$U$3)*$T$6,2))))</f>
        <v>999.99</v>
      </c>
    </row>
  </sheetData>
  <mergeCells count="2">
    <mergeCell ref="A1:U1"/>
    <mergeCell ref="W1:AQ1"/>
  </mergeCells>
  <pageMargins left="0.7" right="0.7" top="0.75" bottom="0.75" header="0.3" footer="0.3"/>
  <tableParts count="6">
    <tablePart r:id="rId1"/>
    <tablePart r:id="rId2"/>
    <tablePart r:id="rId3"/>
    <tablePart r:id="rId4"/>
    <tablePart r:id="rId5"/>
    <tablePart r:id="rId6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47564-7440-49A8-81EB-E7783A5BB138}">
  <dimension ref="A1:AQ52"/>
  <sheetViews>
    <sheetView workbookViewId="0">
      <selection activeCell="A3" sqref="A3:K52"/>
    </sheetView>
  </sheetViews>
  <sheetFormatPr defaultRowHeight="14.4" x14ac:dyDescent="0.3"/>
  <cols>
    <col min="1" max="1" width="13.5546875" customWidth="1"/>
    <col min="3" max="3" width="12.109375" customWidth="1"/>
    <col min="5" max="5" width="14.88671875" bestFit="1" customWidth="1"/>
    <col min="6" max="6" width="12.5546875" customWidth="1"/>
    <col min="7" max="7" width="15.21875" customWidth="1"/>
    <col min="8" max="8" width="17.6640625" customWidth="1"/>
    <col min="9" max="9" width="16.44140625" customWidth="1"/>
    <col min="10" max="10" width="12.21875" customWidth="1"/>
    <col min="11" max="11" width="13.109375" customWidth="1"/>
    <col min="12" max="12" width="11.6640625" customWidth="1"/>
    <col min="13" max="13" width="12.109375" customWidth="1"/>
    <col min="14" max="14" width="11.33203125" customWidth="1"/>
    <col min="15" max="15" width="12.109375" customWidth="1"/>
    <col min="16" max="16" width="10.33203125" customWidth="1"/>
    <col min="17" max="17" width="13.88671875" customWidth="1"/>
    <col min="19" max="19" width="14.5546875" customWidth="1"/>
    <col min="20" max="20" width="15.5546875" customWidth="1"/>
    <col min="21" max="21" width="18.5546875" customWidth="1"/>
  </cols>
  <sheetData>
    <row r="1" spans="1:43" ht="21" x14ac:dyDescent="0.4">
      <c r="A1" s="8" t="s">
        <v>597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W1" s="8" t="s">
        <v>598</v>
      </c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</row>
    <row r="2" spans="1:43" x14ac:dyDescent="0.3">
      <c r="A2" t="s">
        <v>459</v>
      </c>
      <c r="B2" t="s">
        <v>460</v>
      </c>
      <c r="C2" t="s">
        <v>461</v>
      </c>
      <c r="D2" t="s">
        <v>462</v>
      </c>
      <c r="E2" t="s">
        <v>463</v>
      </c>
      <c r="F2" t="s">
        <v>464</v>
      </c>
      <c r="G2" t="s">
        <v>465</v>
      </c>
      <c r="H2" t="s">
        <v>466</v>
      </c>
      <c r="I2" t="s">
        <v>467</v>
      </c>
      <c r="J2" t="s">
        <v>468</v>
      </c>
      <c r="K2" t="s">
        <v>469</v>
      </c>
      <c r="L2" t="s">
        <v>470</v>
      </c>
      <c r="M2" t="s">
        <v>471</v>
      </c>
      <c r="N2" t="s">
        <v>472</v>
      </c>
      <c r="O2" t="s">
        <v>473</v>
      </c>
      <c r="P2" t="s">
        <v>474</v>
      </c>
      <c r="Q2" t="s">
        <v>475</v>
      </c>
      <c r="S2" t="s">
        <v>476</v>
      </c>
      <c r="T2" t="s">
        <v>477</v>
      </c>
      <c r="U2" t="s">
        <v>478</v>
      </c>
      <c r="W2" t="s">
        <v>459</v>
      </c>
      <c r="X2" t="s">
        <v>460</v>
      </c>
      <c r="Y2" t="s">
        <v>461</v>
      </c>
      <c r="Z2" t="s">
        <v>462</v>
      </c>
      <c r="AA2" t="s">
        <v>463</v>
      </c>
      <c r="AB2" t="s">
        <v>464</v>
      </c>
      <c r="AC2" t="s">
        <v>465</v>
      </c>
      <c r="AD2" t="s">
        <v>466</v>
      </c>
      <c r="AE2" t="s">
        <v>467</v>
      </c>
      <c r="AF2" t="s">
        <v>468</v>
      </c>
      <c r="AG2" t="s">
        <v>469</v>
      </c>
      <c r="AH2" t="s">
        <v>470</v>
      </c>
      <c r="AI2" t="s">
        <v>471</v>
      </c>
      <c r="AJ2" t="s">
        <v>472</v>
      </c>
      <c r="AK2" t="s">
        <v>473</v>
      </c>
      <c r="AL2" t="s">
        <v>474</v>
      </c>
      <c r="AM2" t="s">
        <v>475</v>
      </c>
      <c r="AO2" t="s">
        <v>476</v>
      </c>
      <c r="AP2" t="s">
        <v>477</v>
      </c>
      <c r="AQ2" t="s">
        <v>478</v>
      </c>
    </row>
    <row r="3" spans="1:43" x14ac:dyDescent="0.3">
      <c r="A3">
        <v>15</v>
      </c>
      <c r="B3">
        <v>69</v>
      </c>
      <c r="C3" t="s">
        <v>257</v>
      </c>
      <c r="D3" t="s">
        <v>480</v>
      </c>
      <c r="E3" t="s">
        <v>689</v>
      </c>
      <c r="F3">
        <v>2015</v>
      </c>
      <c r="G3" s="1">
        <v>1.2508101851851851E-3</v>
      </c>
      <c r="H3" s="1" t="s">
        <v>518</v>
      </c>
      <c r="I3" s="1"/>
      <c r="K3">
        <v>124075</v>
      </c>
      <c r="L3" s="2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1.2508101851851851E-3</v>
      </c>
      <c r="M3" s="3">
        <f>IF(Table127163137496173[[#This Row],[run 1 times]]="",999.99,IF(Table127163137496173[[#This Row],[run 1 times]]=$S$3,0,MAX(0,ROUND(((Table127163137496173[[#This Row],[run 1 times]]-$S$3)/$S$3)*$T$6,2))))</f>
        <v>506.82</v>
      </c>
      <c r="N3" s="2" t="str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3" s="3">
        <f>IF(Table127163137496173[[#This Row],[run2 times]]="",999.99,IF(Table127163137496173[[#This Row],[run2 times]]=$T$3,0,MAX(0,ROUND(((Table127163137496173[[#This Row],[run2 times]]-$T$3)/$T$3)*$T$6,2))))</f>
        <v>999.99</v>
      </c>
      <c r="P3" s="2" t="str">
        <f>IF(OR(Table127163137496173[[#This Row],[run 1 times]]="",Table127163137496173[[#This Row],[run2 times]]=""),"",Table127163137496173[[#This Row],[run 1 times]]+Table127163137496173[[#This Row],[run2 times]])</f>
        <v/>
      </c>
      <c r="Q3" s="3">
        <f>IF(Table127163137496173[[#This Row],[total time]]="",999.99,IF(Table127163137496173[[#This Row],[total time]]=$U$3,0,MAX(0,ROUND(((Table127163137496173[[#This Row],[total time]]-$U$3)/$U$3)*$T$6,2))))</f>
        <v>999.99</v>
      </c>
      <c r="S3" s="1">
        <f>MIN(Table127163137496173[run 1 times])</f>
        <v>8.3287037037037043E-4</v>
      </c>
      <c r="T3" s="1">
        <f>MIN(Table127163137496173[run2 times])</f>
        <v>8.1458333333333328E-4</v>
      </c>
      <c r="U3" s="1">
        <f>MIN(Table127163137496173[total time])</f>
        <v>1.6527777777777778E-3</v>
      </c>
      <c r="W3">
        <v>3</v>
      </c>
      <c r="X3">
        <v>144</v>
      </c>
      <c r="Y3" t="s">
        <v>487</v>
      </c>
      <c r="Z3" t="s">
        <v>547</v>
      </c>
      <c r="AA3" t="s">
        <v>836</v>
      </c>
      <c r="AB3">
        <v>2010</v>
      </c>
      <c r="AC3" s="1">
        <v>56.23</v>
      </c>
      <c r="AD3" s="1">
        <v>7.0914351851851856E-4</v>
      </c>
      <c r="AE3" s="1">
        <v>1.3599537037037037E-3</v>
      </c>
      <c r="AG3">
        <v>89850</v>
      </c>
      <c r="AH3" s="2">
        <f>_xlfn.LET(_xlpm.x,Table122110193440526476[[#This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6.5081018518518515E-4</v>
      </c>
      <c r="AI3" s="3">
        <f>IF(Table122110193440526476[[#This Row],[run 1 times]]="",999.99,IF(Table122110193440526476[[#This Row],[run 1 times]]=$AO$3,0,MAX(0,ROUND(((Table122110193440526476[[#This Row],[run 1 times]]-$AO$3)/$AO$3)*$AP$6,2))))</f>
        <v>64.8</v>
      </c>
      <c r="AJ3" s="2">
        <f>_xlfn.LET(_xlpm.x,Table122110193440526476[[#This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7.0914351851851856E-4</v>
      </c>
      <c r="AK3" s="3">
        <f>IF(Table122110193440526476[[#This Row],[run2 times]]="",999.99,IF(Table122110193440526476[[#This Row],[run2 times]]=$AP$3,0,MAX(0,ROUND(((Table122110193440526476[[#This Row],[run2 times]]-$AP$3)/$AP$3)*$AP$6,2))))</f>
        <v>96.83</v>
      </c>
      <c r="AL3" s="2">
        <f>IF(OR(Table122110193440526476[[#This Row],[run 1 times]]="",Table122110193440526476[[#This Row],[run2 times]]=""),"",Table122110193440526476[[#This Row],[run 1 times]]+Table122110193440526476[[#This Row],[run2 times]])</f>
        <v>1.3599537037037037E-3</v>
      </c>
      <c r="AM3" s="3">
        <f>IF(Table122110193440526476[[#This Row],[total time]]="",999.99,IF(Table122110193440526476[[#This Row],[total time]]=$AQ$3,0,MAX(0,ROUND(((Table122110193440526476[[#This Row],[total time]]-$AQ$3)/$AQ$3)*$AP$6,2))))</f>
        <v>80.260000000000005</v>
      </c>
      <c r="AO3" s="1">
        <f>MIN(Table122110193440526476[run 1 times])</f>
        <v>6.1157407407407406E-4</v>
      </c>
      <c r="AP3" s="1">
        <f>MIN(Table122110193440526476[run2 times])</f>
        <v>6.4710648148148147E-4</v>
      </c>
      <c r="AQ3" s="1">
        <f>MIN(Table122110193440526476[total time])</f>
        <v>1.259837962962963E-3</v>
      </c>
    </row>
    <row r="4" spans="1:43" x14ac:dyDescent="0.3">
      <c r="A4">
        <v>16</v>
      </c>
      <c r="B4">
        <v>70</v>
      </c>
      <c r="C4" t="s">
        <v>487</v>
      </c>
      <c r="D4" t="s">
        <v>480</v>
      </c>
      <c r="E4" t="s">
        <v>879</v>
      </c>
      <c r="F4">
        <v>2015</v>
      </c>
      <c r="G4" s="1">
        <v>1.0641203703703704E-3</v>
      </c>
      <c r="H4" s="1">
        <v>1.0096064814814816E-3</v>
      </c>
      <c r="I4" s="1">
        <v>2.0737268518518522E-3</v>
      </c>
      <c r="K4">
        <v>108282</v>
      </c>
      <c r="L4" s="2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1.0641203703703704E-3</v>
      </c>
      <c r="M4" s="3">
        <f>IF(Table127163137496173[[#This Row],[run 1 times]]="",999.99,IF(Table127163137496173[[#This Row],[run 1 times]]=$S$3,0,MAX(0,ROUND(((Table127163137496173[[#This Row],[run 1 times]]-$S$3)/$S$3)*$T$6,2))))</f>
        <v>280.43</v>
      </c>
      <c r="N4" s="2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1.0096064814814816E-3</v>
      </c>
      <c r="O4" s="3">
        <f>IF(Table127163137496173[[#This Row],[run2 times]]="",999.99,IF(Table127163137496173[[#This Row],[run2 times]]=$T$3,0,MAX(0,ROUND(((Table127163137496173[[#This Row],[run2 times]]-$T$3)/$T$3)*$T$6,2))))</f>
        <v>241.81</v>
      </c>
      <c r="P4" s="2">
        <f>IF(OR(Table127163137496173[[#This Row],[run 1 times]]="",Table127163137496173[[#This Row],[run2 times]]=""),"",Table127163137496173[[#This Row],[run 1 times]]+Table127163137496173[[#This Row],[run2 times]])</f>
        <v>2.0737268518518518E-3</v>
      </c>
      <c r="Q4" s="3">
        <f>IF(Table127163137496173[[#This Row],[total time]]="",999.99,IF(Table127163137496173[[#This Row],[total time]]=$U$3,0,MAX(0,ROUND(((Table127163137496173[[#This Row],[total time]]-$U$3)/$U$3)*$T$6,2))))</f>
        <v>257.24</v>
      </c>
      <c r="W4">
        <v>6</v>
      </c>
      <c r="X4">
        <v>147</v>
      </c>
      <c r="Y4" t="s">
        <v>838</v>
      </c>
      <c r="Z4" t="s">
        <v>547</v>
      </c>
      <c r="AA4" t="s">
        <v>839</v>
      </c>
      <c r="AB4">
        <v>2011</v>
      </c>
      <c r="AC4" s="1">
        <v>7.1736111111111111E-4</v>
      </c>
      <c r="AD4" s="1">
        <v>7.9560185185185181E-4</v>
      </c>
      <c r="AE4" s="1">
        <v>1.5129629629629629E-3</v>
      </c>
      <c r="AG4">
        <v>112467</v>
      </c>
      <c r="AH4" s="2">
        <f>_xlfn.LET(_xlpm.x,Table122110193440526476[[#This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7.1736111111111111E-4</v>
      </c>
      <c r="AI4" s="3">
        <f>IF(Table122110193440526476[[#This Row],[run 1 times]]="",999.99,IF(Table122110193440526476[[#This Row],[run 1 times]]=$AO$3,0,MAX(0,ROUND(((Table122110193440526476[[#This Row],[run 1 times]]-$AO$3)/$AO$3)*$AP$6,2))))</f>
        <v>174.7</v>
      </c>
      <c r="AJ4" s="2">
        <f>_xlfn.LET(_xlpm.x,Table122110193440526476[[#This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7.9560185185185181E-4</v>
      </c>
      <c r="AK4" s="3">
        <f>IF(Table122110193440526476[[#This Row],[run2 times]]="",999.99,IF(Table122110193440526476[[#This Row],[run2 times]]=$AP$3,0,MAX(0,ROUND(((Table122110193440526476[[#This Row],[run2 times]]-$AP$3)/$AP$3)*$AP$6,2))))</f>
        <v>231.77</v>
      </c>
      <c r="AL4" s="2">
        <f>IF(OR(Table122110193440526476[[#This Row],[run 1 times]]="",Table122110193440526476[[#This Row],[run2 times]]=""),"",Table122110193440526476[[#This Row],[run 1 times]]+Table122110193440526476[[#This Row],[run2 times]])</f>
        <v>1.5129629629629629E-3</v>
      </c>
      <c r="AM4" s="3">
        <f>IF(Table122110193440526476[[#This Row],[total time]]="",999.99,IF(Table122110193440526476[[#This Row],[total time]]=$AQ$3,0,MAX(0,ROUND(((Table122110193440526476[[#This Row],[total time]]-$AQ$3)/$AQ$3)*$AP$6,2))))</f>
        <v>202.93</v>
      </c>
    </row>
    <row r="5" spans="1:43" x14ac:dyDescent="0.3">
      <c r="A5">
        <v>17</v>
      </c>
      <c r="B5">
        <v>71</v>
      </c>
      <c r="C5" t="s">
        <v>479</v>
      </c>
      <c r="D5" t="s">
        <v>522</v>
      </c>
      <c r="E5" t="s">
        <v>673</v>
      </c>
      <c r="F5">
        <v>2012</v>
      </c>
      <c r="G5" s="1">
        <v>8.6921296296296291E-4</v>
      </c>
      <c r="H5" s="1">
        <v>8.2835648148148146E-4</v>
      </c>
      <c r="I5" s="1">
        <v>1.6975694444444447E-3</v>
      </c>
      <c r="K5">
        <v>108263</v>
      </c>
      <c r="L5" s="2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8.6921296296296291E-4</v>
      </c>
      <c r="M5" s="3">
        <f>IF(Table127163137496173[[#This Row],[run 1 times]]="",999.99,IF(Table127163137496173[[#This Row],[run 1 times]]=$S$3,0,MAX(0,ROUND(((Table127163137496173[[#This Row],[run 1 times]]-$S$3)/$S$3)*$T$6,2))))</f>
        <v>44.07</v>
      </c>
      <c r="N5" s="2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8.2835648148148146E-4</v>
      </c>
      <c r="O5" s="3">
        <f>IF(Table127163137496173[[#This Row],[run2 times]]="",999.99,IF(Table127163137496173[[#This Row],[run2 times]]=$T$3,0,MAX(0,ROUND(((Table127163137496173[[#This Row],[run2 times]]-$T$3)/$T$3)*$T$6,2))))</f>
        <v>17.079999999999998</v>
      </c>
      <c r="P5" s="2">
        <f>IF(OR(Table127163137496173[[#This Row],[run 1 times]]="",Table127163137496173[[#This Row],[run2 times]]=""),"",Table127163137496173[[#This Row],[run 1 times]]+Table127163137496173[[#This Row],[run2 times]])</f>
        <v>1.6975694444444443E-3</v>
      </c>
      <c r="Q5" s="3">
        <f>IF(Table127163137496173[[#This Row],[total time]]="",999.99,IF(Table127163137496173[[#This Row],[total time]]=$U$3,0,MAX(0,ROUND(((Table127163137496173[[#This Row],[total time]]-$U$3)/$U$3)*$T$6,2))))</f>
        <v>27.37</v>
      </c>
      <c r="S5" t="s">
        <v>484</v>
      </c>
      <c r="T5" t="s">
        <v>485</v>
      </c>
      <c r="U5" t="s">
        <v>486</v>
      </c>
      <c r="W5">
        <v>11</v>
      </c>
      <c r="X5">
        <v>152</v>
      </c>
      <c r="Y5" t="s">
        <v>479</v>
      </c>
      <c r="Z5" t="s">
        <v>547</v>
      </c>
      <c r="AA5" t="s">
        <v>750</v>
      </c>
      <c r="AB5">
        <v>2011</v>
      </c>
      <c r="AC5" s="1">
        <v>57.17</v>
      </c>
      <c r="AD5" s="1">
        <v>59.59</v>
      </c>
      <c r="AE5" s="1">
        <v>1.3513888888888887E-3</v>
      </c>
      <c r="AG5">
        <v>101428</v>
      </c>
      <c r="AH5" s="2">
        <f>_xlfn.LET(_xlpm.x,Table122110193440526476[[#This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6.6168981481481482E-4</v>
      </c>
      <c r="AI5" s="3">
        <f>IF(Table122110193440526476[[#This Row],[run 1 times]]="",999.99,IF(Table122110193440526476[[#This Row],[run 1 times]]=$AO$3,0,MAX(0,ROUND(((Table122110193440526476[[#This Row],[run 1 times]]-$AO$3)/$AO$3)*$AP$6,2))))</f>
        <v>82.76</v>
      </c>
      <c r="AJ5" s="2">
        <f>_xlfn.LET(_xlpm.x,Table122110193440526476[[#This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6.8969907407407413E-4</v>
      </c>
      <c r="AK5" s="3">
        <f>IF(Table122110193440526476[[#This Row],[run2 times]]="",999.99,IF(Table122110193440526476[[#This Row],[run2 times]]=$AP$3,0,MAX(0,ROUND(((Table122110193440526476[[#This Row],[run2 times]]-$AP$3)/$AP$3)*$AP$6,2))))</f>
        <v>66.48</v>
      </c>
      <c r="AL5" s="2">
        <f>IF(OR(Table122110193440526476[[#This Row],[run 1 times]]="",Table122110193440526476[[#This Row],[run2 times]]=""),"",Table122110193440526476[[#This Row],[run 1 times]]+Table122110193440526476[[#This Row],[run2 times]])</f>
        <v>1.351388888888889E-3</v>
      </c>
      <c r="AM5" s="3">
        <f>IF(Table122110193440526476[[#This Row],[total time]]="",999.99,IF(Table122110193440526476[[#This Row],[total time]]=$AQ$3,0,MAX(0,ROUND(((Table122110193440526476[[#This Row],[total time]]-$AQ$3)/$AQ$3)*$AP$6,2))))</f>
        <v>73.400000000000006</v>
      </c>
      <c r="AO5" t="s">
        <v>484</v>
      </c>
      <c r="AP5" t="s">
        <v>485</v>
      </c>
      <c r="AQ5" t="s">
        <v>486</v>
      </c>
    </row>
    <row r="6" spans="1:43" x14ac:dyDescent="0.3">
      <c r="A6">
        <v>19</v>
      </c>
      <c r="B6">
        <v>74</v>
      </c>
      <c r="C6" t="s">
        <v>257</v>
      </c>
      <c r="D6" t="s">
        <v>480</v>
      </c>
      <c r="E6" t="s">
        <v>880</v>
      </c>
      <c r="F6">
        <v>2015</v>
      </c>
      <c r="G6" s="1">
        <v>1.0775462962962963E-3</v>
      </c>
      <c r="H6" s="1">
        <v>9.7326388888888896E-4</v>
      </c>
      <c r="I6" s="1">
        <v>2.050810185185185E-3</v>
      </c>
      <c r="K6">
        <v>124081</v>
      </c>
      <c r="L6" s="2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1.0775462962962963E-3</v>
      </c>
      <c r="M6" s="3">
        <f>IF(Table127163137496173[[#This Row],[run 1 times]]="",999.99,IF(Table127163137496173[[#This Row],[run 1 times]]=$S$3,0,MAX(0,ROUND(((Table127163137496173[[#This Row],[run 1 times]]-$S$3)/$S$3)*$T$6,2))))</f>
        <v>296.70999999999998</v>
      </c>
      <c r="N6" s="2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9.7326388888888896E-4</v>
      </c>
      <c r="O6" s="3">
        <f>IF(Table127163137496173[[#This Row],[run2 times]]="",999.99,IF(Table127163137496173[[#This Row],[run2 times]]=$T$3,0,MAX(0,ROUND(((Table127163137496173[[#This Row],[run2 times]]-$T$3)/$T$3)*$T$6,2))))</f>
        <v>196.75</v>
      </c>
      <c r="P6" s="2">
        <f>IF(OR(Table127163137496173[[#This Row],[run 1 times]]="",Table127163137496173[[#This Row],[run2 times]]=""),"",Table127163137496173[[#This Row],[run 1 times]]+Table127163137496173[[#This Row],[run2 times]])</f>
        <v>2.050810185185185E-3</v>
      </c>
      <c r="Q6" s="3">
        <f>IF(Table127163137496173[[#This Row],[total time]]="",999.99,IF(Table127163137496173[[#This Row],[total time]]=$U$3,0,MAX(0,ROUND(((Table127163137496173[[#This Row],[total time]]-$U$3)/$U$3)*$T$6,2))))</f>
        <v>243.23</v>
      </c>
      <c r="S6">
        <v>730</v>
      </c>
      <c r="T6">
        <v>1010</v>
      </c>
      <c r="U6">
        <v>1190</v>
      </c>
      <c r="W6">
        <v>12</v>
      </c>
      <c r="X6">
        <v>153</v>
      </c>
      <c r="Y6" t="s">
        <v>24</v>
      </c>
      <c r="Z6" t="s">
        <v>547</v>
      </c>
      <c r="AA6" t="s">
        <v>762</v>
      </c>
      <c r="AB6">
        <v>2011</v>
      </c>
      <c r="AC6" s="1">
        <v>56.55</v>
      </c>
      <c r="AD6" s="1">
        <v>7.0648148148148144E-4</v>
      </c>
      <c r="AE6" s="1">
        <v>1.3609953703703705E-3</v>
      </c>
      <c r="AG6">
        <v>89867</v>
      </c>
      <c r="AH6" s="2">
        <f>_xlfn.LET(_xlpm.x,Table122110193440526476[[#This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6.5451388888888883E-4</v>
      </c>
      <c r="AI6" s="3">
        <f>IF(Table122110193440526476[[#This Row],[run 1 times]]="",999.99,IF(Table122110193440526476[[#This Row],[run 1 times]]=$AO$3,0,MAX(0,ROUND(((Table122110193440526476[[#This Row],[run 1 times]]-$AO$3)/$AO$3)*$AP$6,2))))</f>
        <v>70.91</v>
      </c>
      <c r="AJ6" s="2">
        <f>_xlfn.LET(_xlpm.x,Table122110193440526476[[#This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7.0648148148148144E-4</v>
      </c>
      <c r="AK6" s="3">
        <f>IF(Table122110193440526476[[#This Row],[run2 times]]="",999.99,IF(Table122110193440526476[[#This Row],[run2 times]]=$AP$3,0,MAX(0,ROUND(((Table122110193440526476[[#This Row],[run2 times]]-$AP$3)/$AP$3)*$AP$6,2))))</f>
        <v>92.67</v>
      </c>
      <c r="AL6" s="2">
        <f>IF(OR(Table122110193440526476[[#This Row],[run 1 times]]="",Table122110193440526476[[#This Row],[run2 times]]=""),"",Table122110193440526476[[#This Row],[run 1 times]]+Table122110193440526476[[#This Row],[run2 times]])</f>
        <v>1.3609953703703703E-3</v>
      </c>
      <c r="AM6" s="3">
        <f>IF(Table122110193440526476[[#This Row],[total time]]="",999.99,IF(Table122110193440526476[[#This Row],[total time]]=$AQ$3,0,MAX(0,ROUND(((Table122110193440526476[[#This Row],[total time]]-$AQ$3)/$AQ$3)*$AP$6,2))))</f>
        <v>81.099999999999994</v>
      </c>
      <c r="AO6">
        <v>730</v>
      </c>
      <c r="AP6">
        <v>1010</v>
      </c>
      <c r="AQ6">
        <v>1190</v>
      </c>
    </row>
    <row r="7" spans="1:43" x14ac:dyDescent="0.3">
      <c r="A7">
        <v>28</v>
      </c>
      <c r="B7">
        <v>83</v>
      </c>
      <c r="C7" t="s">
        <v>838</v>
      </c>
      <c r="D7" t="s">
        <v>522</v>
      </c>
      <c r="E7" t="s">
        <v>873</v>
      </c>
      <c r="F7">
        <v>2012</v>
      </c>
      <c r="G7" s="1">
        <v>1.0640046296296298E-3</v>
      </c>
      <c r="H7" s="1">
        <v>9.6354166666666669E-4</v>
      </c>
      <c r="I7" s="1">
        <v>2.0275462962962964E-3</v>
      </c>
      <c r="K7">
        <v>124171</v>
      </c>
      <c r="L7" s="2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1.0640046296296298E-3</v>
      </c>
      <c r="M7" s="3">
        <f>IF(Table127163137496173[[#This Row],[run 1 times]]="",999.99,IF(Table127163137496173[[#This Row],[run 1 times]]=$S$3,0,MAX(0,ROUND(((Table127163137496173[[#This Row],[run 1 times]]-$S$3)/$S$3)*$T$6,2))))</f>
        <v>280.29000000000002</v>
      </c>
      <c r="N7" s="2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9.6354166666666669E-4</v>
      </c>
      <c r="O7" s="3">
        <f>IF(Table127163137496173[[#This Row],[run2 times]]="",999.99,IF(Table127163137496173[[#This Row],[run2 times]]=$T$3,0,MAX(0,ROUND(((Table127163137496173[[#This Row],[run2 times]]-$T$3)/$T$3)*$T$6,2))))</f>
        <v>184.69</v>
      </c>
      <c r="P7" s="2">
        <f>IF(OR(Table127163137496173[[#This Row],[run 1 times]]="",Table127163137496173[[#This Row],[run2 times]]=""),"",Table127163137496173[[#This Row],[run 1 times]]+Table127163137496173[[#This Row],[run2 times]])</f>
        <v>2.0275462962962964E-3</v>
      </c>
      <c r="Q7" s="3">
        <f>IF(Table127163137496173[[#This Row],[total time]]="",999.99,IF(Table127163137496173[[#This Row],[total time]]=$U$3,0,MAX(0,ROUND(((Table127163137496173[[#This Row],[total time]]-$U$3)/$U$3)*$T$6,2))))</f>
        <v>229.02</v>
      </c>
      <c r="W7">
        <v>32</v>
      </c>
      <c r="X7">
        <v>173</v>
      </c>
      <c r="Y7" t="s">
        <v>24</v>
      </c>
      <c r="Z7" t="s">
        <v>547</v>
      </c>
      <c r="AA7" t="s">
        <v>742</v>
      </c>
      <c r="AB7">
        <v>2010</v>
      </c>
      <c r="AC7" s="1">
        <v>55.14</v>
      </c>
      <c r="AD7" s="1">
        <v>58.27</v>
      </c>
      <c r="AE7" s="1">
        <v>1.3126157407407407E-3</v>
      </c>
      <c r="AG7">
        <v>89651</v>
      </c>
      <c r="AH7" s="2">
        <f>_xlfn.LET(_xlpm.x,Table122110193440526476[[#This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6.3819444444444449E-4</v>
      </c>
      <c r="AI7" s="3">
        <f>IF(Table122110193440526476[[#This Row],[run 1 times]]="",999.99,IF(Table122110193440526476[[#This Row],[run 1 times]]=$AO$3,0,MAX(0,ROUND(((Table122110193440526476[[#This Row],[run 1 times]]-$AO$3)/$AO$3)*$AP$6,2))))</f>
        <v>43.96</v>
      </c>
      <c r="AJ7" s="2">
        <f>_xlfn.LET(_xlpm.x,Table122110193440526476[[#This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6.7442129629629634E-4</v>
      </c>
      <c r="AK7" s="3">
        <f>IF(Table122110193440526476[[#This Row],[run2 times]]="",999.99,IF(Table122110193440526476[[#This Row],[run2 times]]=$AP$3,0,MAX(0,ROUND(((Table122110193440526476[[#This Row],[run2 times]]-$AP$3)/$AP$3)*$AP$6,2))))</f>
        <v>42.63</v>
      </c>
      <c r="AL7" s="2">
        <f>IF(OR(Table122110193440526476[[#This Row],[run 1 times]]="",Table122110193440526476[[#This Row],[run2 times]]=""),"",Table122110193440526476[[#This Row],[run 1 times]]+Table122110193440526476[[#This Row],[run2 times]])</f>
        <v>1.3126157407407409E-3</v>
      </c>
      <c r="AM7" s="3">
        <f>IF(Table122110193440526476[[#This Row],[total time]]="",999.99,IF(Table122110193440526476[[#This Row],[total time]]=$AQ$3,0,MAX(0,ROUND(((Table122110193440526476[[#This Row],[total time]]-$AQ$3)/$AQ$3)*$AP$6,2))))</f>
        <v>42.31</v>
      </c>
    </row>
    <row r="8" spans="1:43" x14ac:dyDescent="0.3">
      <c r="A8">
        <v>33</v>
      </c>
      <c r="B8">
        <v>88</v>
      </c>
      <c r="C8" t="s">
        <v>257</v>
      </c>
      <c r="D8" t="s">
        <v>522</v>
      </c>
      <c r="E8" t="s">
        <v>712</v>
      </c>
      <c r="F8">
        <v>2012</v>
      </c>
      <c r="G8" s="1">
        <v>9.5E-4</v>
      </c>
      <c r="H8" s="1">
        <v>8.9363425925925938E-4</v>
      </c>
      <c r="I8" s="1">
        <v>1.8436342592592593E-3</v>
      </c>
      <c r="K8">
        <v>117686</v>
      </c>
      <c r="L8" s="2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9.5E-4</v>
      </c>
      <c r="M8" s="3">
        <f>IF(Table127163137496173[[#This Row],[run 1 times]]="",999.99,IF(Table127163137496173[[#This Row],[run 1 times]]=$S$3,0,MAX(0,ROUND(((Table127163137496173[[#This Row],[run 1 times]]-$S$3)/$S$3)*$T$6,2))))</f>
        <v>142.04</v>
      </c>
      <c r="N8" s="2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8.9363425925925938E-4</v>
      </c>
      <c r="O8" s="3">
        <f>IF(Table127163137496173[[#This Row],[run2 times]]="",999.99,IF(Table127163137496173[[#This Row],[run2 times]]=$T$3,0,MAX(0,ROUND(((Table127163137496173[[#This Row],[run2 times]]-$T$3)/$T$3)*$T$6,2))))</f>
        <v>98.02</v>
      </c>
      <c r="P8" s="2">
        <f>IF(OR(Table127163137496173[[#This Row],[run 1 times]]="",Table127163137496173[[#This Row],[run2 times]]=""),"",Table127163137496173[[#This Row],[run 1 times]]+Table127163137496173[[#This Row],[run2 times]])</f>
        <v>1.8436342592592593E-3</v>
      </c>
      <c r="Q8" s="3">
        <f>IF(Table127163137496173[[#This Row],[total time]]="",999.99,IF(Table127163137496173[[#This Row],[total time]]=$U$3,0,MAX(0,ROUND(((Table127163137496173[[#This Row],[total time]]-$U$3)/$U$3)*$T$6,2))))</f>
        <v>116.63</v>
      </c>
      <c r="W8">
        <v>33</v>
      </c>
      <c r="X8">
        <v>174</v>
      </c>
      <c r="Y8" t="s">
        <v>223</v>
      </c>
      <c r="Z8" t="s">
        <v>845</v>
      </c>
      <c r="AA8" t="s">
        <v>757</v>
      </c>
      <c r="AB8">
        <v>2007</v>
      </c>
      <c r="AC8" s="1">
        <v>57.85</v>
      </c>
      <c r="AD8" s="1">
        <v>6.9907407407407407E-4</v>
      </c>
      <c r="AE8" s="1">
        <v>1.3686342592592593E-3</v>
      </c>
      <c r="AG8">
        <v>126692</v>
      </c>
      <c r="AH8" s="2">
        <f>_xlfn.LET(_xlpm.x,Table122110193440526476[[#This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6.6956018518518525E-4</v>
      </c>
      <c r="AI8" s="3">
        <f>IF(Table122110193440526476[[#This Row],[run 1 times]]="",999.99,IF(Table122110193440526476[[#This Row],[run 1 times]]=$AO$3,0,MAX(0,ROUND(((Table122110193440526476[[#This Row],[run 1 times]]-$AO$3)/$AO$3)*$AP$6,2))))</f>
        <v>95.76</v>
      </c>
      <c r="AJ8" s="2">
        <f>_xlfn.LET(_xlpm.x,Table122110193440526476[[#This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6.9907407407407407E-4</v>
      </c>
      <c r="AK8" s="3">
        <f>IF(Table122110193440526476[[#This Row],[run2 times]]="",999.99,IF(Table122110193440526476[[#This Row],[run2 times]]=$AP$3,0,MAX(0,ROUND(((Table122110193440526476[[#This Row],[run2 times]]-$AP$3)/$AP$3)*$AP$6,2))))</f>
        <v>81.11</v>
      </c>
      <c r="AL8" s="2">
        <f>IF(OR(Table122110193440526476[[#This Row],[run 1 times]]="",Table122110193440526476[[#This Row],[run2 times]]=""),"",Table122110193440526476[[#This Row],[run 1 times]]+Table122110193440526476[[#This Row],[run2 times]])</f>
        <v>1.3686342592592593E-3</v>
      </c>
      <c r="AM8" s="3">
        <f>IF(Table122110193440526476[[#This Row],[total time]]="",999.99,IF(Table122110193440526476[[#This Row],[total time]]=$AQ$3,0,MAX(0,ROUND(((Table122110193440526476[[#This Row],[total time]]-$AQ$3)/$AQ$3)*$AP$6,2))))</f>
        <v>87.22</v>
      </c>
    </row>
    <row r="9" spans="1:43" x14ac:dyDescent="0.3">
      <c r="A9">
        <v>35</v>
      </c>
      <c r="B9">
        <v>90</v>
      </c>
      <c r="C9" t="s">
        <v>826</v>
      </c>
      <c r="D9" t="s">
        <v>522</v>
      </c>
      <c r="E9" t="s">
        <v>885</v>
      </c>
      <c r="F9">
        <v>2013</v>
      </c>
      <c r="G9" s="1" t="s">
        <v>518</v>
      </c>
      <c r="H9" s="1">
        <v>1.0296296296296297E-3</v>
      </c>
      <c r="I9" s="1"/>
      <c r="K9">
        <v>112478</v>
      </c>
      <c r="L9" s="2" t="str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9" s="3">
        <f>IF(Table127163137496173[[#This Row],[run 1 times]]="",999.99,IF(Table127163137496173[[#This Row],[run 1 times]]=$S$3,0,MAX(0,ROUND(((Table127163137496173[[#This Row],[run 1 times]]-$S$3)/$S$3)*$T$6,2))))</f>
        <v>999.99</v>
      </c>
      <c r="N9" s="2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1.0296296296296297E-3</v>
      </c>
      <c r="O9" s="3">
        <f>IF(Table127163137496173[[#This Row],[run2 times]]="",999.99,IF(Table127163137496173[[#This Row],[run2 times]]=$T$3,0,MAX(0,ROUND(((Table127163137496173[[#This Row],[run2 times]]-$T$3)/$T$3)*$T$6,2))))</f>
        <v>266.64</v>
      </c>
      <c r="P9" s="2" t="str">
        <f>IF(OR(Table127163137496173[[#This Row],[run 1 times]]="",Table127163137496173[[#This Row],[run2 times]]=""),"",Table127163137496173[[#This Row],[run 1 times]]+Table127163137496173[[#This Row],[run2 times]])</f>
        <v/>
      </c>
      <c r="Q9" s="3">
        <f>IF(Table127163137496173[[#This Row],[total time]]="",999.99,IF(Table127163137496173[[#This Row],[total time]]=$U$3,0,MAX(0,ROUND(((Table127163137496173[[#This Row],[total time]]-$U$3)/$U$3)*$T$6,2))))</f>
        <v>999.99</v>
      </c>
      <c r="W9">
        <v>35</v>
      </c>
      <c r="X9">
        <v>176</v>
      </c>
      <c r="Y9" t="s">
        <v>257</v>
      </c>
      <c r="Z9" t="s">
        <v>547</v>
      </c>
      <c r="AA9" t="s">
        <v>743</v>
      </c>
      <c r="AB9">
        <v>2011</v>
      </c>
      <c r="AC9" s="1">
        <v>7.2893518518518511E-4</v>
      </c>
      <c r="AD9" s="1">
        <v>7.9652777777777773E-4</v>
      </c>
      <c r="AE9" s="1">
        <v>1.5254629629629631E-3</v>
      </c>
      <c r="AG9">
        <v>117685</v>
      </c>
      <c r="AH9" s="2">
        <f>_xlfn.LET(_xlpm.x,Table122110193440526476[[#This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7.2893518518518511E-4</v>
      </c>
      <c r="AI9" s="3">
        <f>IF(Table122110193440526476[[#This Row],[run 1 times]]="",999.99,IF(Table122110193440526476[[#This Row],[run 1 times]]=$AO$3,0,MAX(0,ROUND(((Table122110193440526476[[#This Row],[run 1 times]]-$AO$3)/$AO$3)*$AP$6,2))))</f>
        <v>193.82</v>
      </c>
      <c r="AJ9" s="2">
        <f>_xlfn.LET(_xlpm.x,Table122110193440526476[[#This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7.9652777777777773E-4</v>
      </c>
      <c r="AK9" s="3">
        <f>IF(Table122110193440526476[[#This Row],[run2 times]]="",999.99,IF(Table122110193440526476[[#This Row],[run2 times]]=$AP$3,0,MAX(0,ROUND(((Table122110193440526476[[#This Row],[run2 times]]-$AP$3)/$AP$3)*$AP$6,2))))</f>
        <v>233.22</v>
      </c>
      <c r="AL9" s="2">
        <f>IF(OR(Table122110193440526476[[#This Row],[run 1 times]]="",Table122110193440526476[[#This Row],[run2 times]]=""),"",Table122110193440526476[[#This Row],[run 1 times]]+Table122110193440526476[[#This Row],[run2 times]])</f>
        <v>1.5254629629629628E-3</v>
      </c>
      <c r="AM9" s="3">
        <f>IF(Table122110193440526476[[#This Row],[total time]]="",999.99,IF(Table122110193440526476[[#This Row],[total time]]=$AQ$3,0,MAX(0,ROUND(((Table122110193440526476[[#This Row],[total time]]-$AQ$3)/$AQ$3)*$AP$6,2))))</f>
        <v>212.95</v>
      </c>
    </row>
    <row r="10" spans="1:43" x14ac:dyDescent="0.3">
      <c r="A10">
        <v>39</v>
      </c>
      <c r="B10">
        <v>94</v>
      </c>
      <c r="C10" t="s">
        <v>257</v>
      </c>
      <c r="D10" t="s">
        <v>480</v>
      </c>
      <c r="E10" t="s">
        <v>710</v>
      </c>
      <c r="F10">
        <v>2015</v>
      </c>
      <c r="G10" s="1">
        <v>1.0616898148148148E-3</v>
      </c>
      <c r="H10" s="1">
        <v>1.0020833333333333E-3</v>
      </c>
      <c r="I10" s="1">
        <v>2.0637731481481483E-3</v>
      </c>
      <c r="K10">
        <v>124078</v>
      </c>
      <c r="L10" s="2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1.0616898148148148E-3</v>
      </c>
      <c r="M10" s="3">
        <f>IF(Table127163137496173[[#This Row],[run 1 times]]="",999.99,IF(Table127163137496173[[#This Row],[run 1 times]]=$S$3,0,MAX(0,ROUND(((Table127163137496173[[#This Row],[run 1 times]]-$S$3)/$S$3)*$T$6,2))))</f>
        <v>277.48</v>
      </c>
      <c r="N10" s="2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1.0020833333333333E-3</v>
      </c>
      <c r="O10" s="3">
        <f>IF(Table127163137496173[[#This Row],[run2 times]]="",999.99,IF(Table127163137496173[[#This Row],[run2 times]]=$T$3,0,MAX(0,ROUND(((Table127163137496173[[#This Row],[run2 times]]-$T$3)/$T$3)*$T$6,2))))</f>
        <v>232.48</v>
      </c>
      <c r="P10" s="2">
        <f>IF(OR(Table127163137496173[[#This Row],[run 1 times]]="",Table127163137496173[[#This Row],[run2 times]]=""),"",Table127163137496173[[#This Row],[run 1 times]]+Table127163137496173[[#This Row],[run2 times]])</f>
        <v>2.0637731481481479E-3</v>
      </c>
      <c r="Q10" s="3">
        <f>IF(Table127163137496173[[#This Row],[total time]]="",999.99,IF(Table127163137496173[[#This Row],[total time]]=$U$3,0,MAX(0,ROUND(((Table127163137496173[[#This Row],[total time]]-$U$3)/$U$3)*$T$6,2))))</f>
        <v>251.16</v>
      </c>
      <c r="W10">
        <v>1</v>
      </c>
      <c r="X10">
        <v>142</v>
      </c>
      <c r="Y10" t="s">
        <v>24</v>
      </c>
      <c r="Z10" t="s">
        <v>547</v>
      </c>
      <c r="AA10" t="s">
        <v>751</v>
      </c>
      <c r="AB10">
        <v>2010</v>
      </c>
      <c r="AC10" s="1">
        <v>7.395833333333333E-4</v>
      </c>
      <c r="AD10" s="1">
        <v>8.1770833333333337E-4</v>
      </c>
      <c r="AE10" s="1">
        <v>1.5572916666666669E-3</v>
      </c>
      <c r="AG10">
        <v>88776</v>
      </c>
      <c r="AH10" s="2">
        <f>_xlfn.LET(_xlpm.x,Table122110193440526476[[#This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7.395833333333333E-4</v>
      </c>
      <c r="AI10" s="3">
        <f>IF(Table122110193440526476[[#This Row],[run 1 times]]="",999.99,IF(Table122110193440526476[[#This Row],[run 1 times]]=$AO$3,0,MAX(0,ROUND(((Table122110193440526476[[#This Row],[run 1 times]]-$AO$3)/$AO$3)*$AP$6,2))))</f>
        <v>211.4</v>
      </c>
      <c r="AJ10" s="2">
        <f>_xlfn.LET(_xlpm.x,Table122110193440526476[[#This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8.1770833333333337E-4</v>
      </c>
      <c r="AK10" s="3">
        <f>IF(Table122110193440526476[[#This Row],[run2 times]]="",999.99,IF(Table122110193440526476[[#This Row],[run2 times]]=$AP$3,0,MAX(0,ROUND(((Table122110193440526476[[#This Row],[run2 times]]-$AP$3)/$AP$3)*$AP$6,2))))</f>
        <v>266.27</v>
      </c>
      <c r="AL10" s="2">
        <f>IF(OR(Table122110193440526476[[#This Row],[run 1 times]]="",Table122110193440526476[[#This Row],[run2 times]]=""),"",Table122110193440526476[[#This Row],[run 1 times]]+Table122110193440526476[[#This Row],[run2 times]])</f>
        <v>1.5572916666666667E-3</v>
      </c>
      <c r="AM10" s="3">
        <f>IF(Table122110193440526476[[#This Row],[total time]]="",999.99,IF(Table122110193440526476[[#This Row],[total time]]=$AQ$3,0,MAX(0,ROUND(((Table122110193440526476[[#This Row],[total time]]-$AQ$3)/$AQ$3)*$AP$6,2))))</f>
        <v>238.47</v>
      </c>
    </row>
    <row r="11" spans="1:43" x14ac:dyDescent="0.3">
      <c r="A11">
        <v>41</v>
      </c>
      <c r="B11">
        <v>96</v>
      </c>
      <c r="C11" t="s">
        <v>24</v>
      </c>
      <c r="D11" t="s">
        <v>522</v>
      </c>
      <c r="E11" t="s">
        <v>681</v>
      </c>
      <c r="F11">
        <v>2013</v>
      </c>
      <c r="G11" s="1">
        <v>1.0082175925925927E-3</v>
      </c>
      <c r="H11" s="1">
        <v>9.1273148148148149E-4</v>
      </c>
      <c r="I11" s="1">
        <v>1.9209490740740741E-3</v>
      </c>
      <c r="K11">
        <v>108684</v>
      </c>
      <c r="L11" s="2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1.0082175925925927E-3</v>
      </c>
      <c r="M11" s="3">
        <f>IF(Table127163137496173[[#This Row],[run 1 times]]="",999.99,IF(Table127163137496173[[#This Row],[run 1 times]]=$S$3,0,MAX(0,ROUND(((Table127163137496173[[#This Row],[run 1 times]]-$S$3)/$S$3)*$T$6,2))))</f>
        <v>212.64</v>
      </c>
      <c r="N11" s="2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9.1273148148148149E-4</v>
      </c>
      <c r="O11" s="3">
        <f>IF(Table127163137496173[[#This Row],[run2 times]]="",999.99,IF(Table127163137496173[[#This Row],[run2 times]]=$T$3,0,MAX(0,ROUND(((Table127163137496173[[#This Row],[run2 times]]-$T$3)/$T$3)*$T$6,2))))</f>
        <v>121.69</v>
      </c>
      <c r="P11" s="2">
        <f>IF(OR(Table127163137496173[[#This Row],[run 1 times]]="",Table127163137496173[[#This Row],[run2 times]]=""),"",Table127163137496173[[#This Row],[run 1 times]]+Table127163137496173[[#This Row],[run2 times]])</f>
        <v>1.9209490740740741E-3</v>
      </c>
      <c r="Q11" s="3">
        <f>IF(Table127163137496173[[#This Row],[total time]]="",999.99,IF(Table127163137496173[[#This Row],[total time]]=$U$3,0,MAX(0,ROUND(((Table127163137496173[[#This Row],[total time]]-$U$3)/$U$3)*$T$6,2))))</f>
        <v>163.88</v>
      </c>
      <c r="W11">
        <v>5</v>
      </c>
      <c r="X11">
        <v>146</v>
      </c>
      <c r="Y11" t="s">
        <v>479</v>
      </c>
      <c r="Z11" t="s">
        <v>547</v>
      </c>
      <c r="AA11" t="s">
        <v>837</v>
      </c>
      <c r="AB11">
        <v>2010</v>
      </c>
      <c r="AC11" s="1">
        <v>53.67</v>
      </c>
      <c r="AD11" s="1">
        <v>57.3</v>
      </c>
      <c r="AE11" s="1">
        <v>1.2843749999999999E-3</v>
      </c>
      <c r="AG11">
        <v>89853</v>
      </c>
      <c r="AH11" s="2">
        <f>_xlfn.LET(_xlpm.x,Table122110193440526476[[#This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6.2118055555555559E-4</v>
      </c>
      <c r="AI11" s="3">
        <f>IF(Table122110193440526476[[#This Row],[run 1 times]]="",999.99,IF(Table122110193440526476[[#This Row],[run 1 times]]=$AO$3,0,MAX(0,ROUND(((Table122110193440526476[[#This Row],[run 1 times]]-$AO$3)/$AO$3)*$AP$6,2))))</f>
        <v>15.86</v>
      </c>
      <c r="AJ11" s="2">
        <f>_xlfn.LET(_xlpm.x,Table122110193440526476[[#This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6.6319444444444444E-4</v>
      </c>
      <c r="AK11" s="3">
        <f>IF(Table122110193440526476[[#This Row],[run2 times]]="",999.99,IF(Table122110193440526476[[#This Row],[run2 times]]=$AP$3,0,MAX(0,ROUND(((Table122110193440526476[[#This Row],[run2 times]]-$AP$3)/$AP$3)*$AP$6,2))))</f>
        <v>25.11</v>
      </c>
      <c r="AL11" s="2">
        <f>IF(OR(Table122110193440526476[[#This Row],[run 1 times]]="",Table122110193440526476[[#This Row],[run2 times]]=""),"",Table122110193440526476[[#This Row],[run 1 times]]+Table122110193440526476[[#This Row],[run2 times]])</f>
        <v>1.2843749999999999E-3</v>
      </c>
      <c r="AM11" s="3">
        <f>IF(Table122110193440526476[[#This Row],[total time]]="",999.99,IF(Table122110193440526476[[#This Row],[total time]]=$AQ$3,0,MAX(0,ROUND(((Table122110193440526476[[#This Row],[total time]]-$AQ$3)/$AQ$3)*$AP$6,2))))</f>
        <v>19.670000000000002</v>
      </c>
    </row>
    <row r="12" spans="1:43" x14ac:dyDescent="0.3">
      <c r="A12">
        <v>43</v>
      </c>
      <c r="B12">
        <v>98</v>
      </c>
      <c r="C12" t="s">
        <v>257</v>
      </c>
      <c r="D12" t="s">
        <v>522</v>
      </c>
      <c r="E12" t="s">
        <v>709</v>
      </c>
      <c r="F12">
        <v>2012</v>
      </c>
      <c r="G12" s="1" t="s">
        <v>512</v>
      </c>
      <c r="H12" s="1">
        <v>8.3067129629629626E-4</v>
      </c>
      <c r="I12" s="1"/>
      <c r="K12">
        <v>107305</v>
      </c>
      <c r="L12" s="2" t="str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12" s="3">
        <f>IF(Table127163137496173[[#This Row],[run 1 times]]="",999.99,IF(Table127163137496173[[#This Row],[run 1 times]]=$S$3,0,MAX(0,ROUND(((Table127163137496173[[#This Row],[run 1 times]]-$S$3)/$S$3)*$T$6,2))))</f>
        <v>999.99</v>
      </c>
      <c r="N12" s="2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8.3067129629629626E-4</v>
      </c>
      <c r="O12" s="3">
        <f>IF(Table127163137496173[[#This Row],[run2 times]]="",999.99,IF(Table127163137496173[[#This Row],[run2 times]]=$T$3,0,MAX(0,ROUND(((Table127163137496173[[#This Row],[run2 times]]-$T$3)/$T$3)*$T$6,2))))</f>
        <v>19.95</v>
      </c>
      <c r="P12" s="2" t="str">
        <f>IF(OR(Table127163137496173[[#This Row],[run 1 times]]="",Table127163137496173[[#This Row],[run2 times]]=""),"",Table127163137496173[[#This Row],[run 1 times]]+Table127163137496173[[#This Row],[run2 times]])</f>
        <v/>
      </c>
      <c r="Q12" s="3">
        <f>IF(Table127163137496173[[#This Row],[total time]]="",999.99,IF(Table127163137496173[[#This Row],[total time]]=$U$3,0,MAX(0,ROUND(((Table127163137496173[[#This Row],[total time]]-$U$3)/$U$3)*$T$6,2))))</f>
        <v>999.99</v>
      </c>
      <c r="W12">
        <v>7</v>
      </c>
      <c r="X12">
        <v>148</v>
      </c>
      <c r="Y12" t="s">
        <v>479</v>
      </c>
      <c r="Z12" t="s">
        <v>572</v>
      </c>
      <c r="AA12" t="s">
        <v>760</v>
      </c>
      <c r="AB12">
        <v>2009</v>
      </c>
      <c r="AC12" s="1">
        <v>53.41</v>
      </c>
      <c r="AD12" s="1">
        <v>59.79</v>
      </c>
      <c r="AE12" s="1">
        <v>1.3101851851851853E-3</v>
      </c>
      <c r="AG12">
        <v>94627</v>
      </c>
      <c r="AH12" s="2">
        <f>_xlfn.LET(_xlpm.x,Table122110193440526476[[#This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6.1817129629629624E-4</v>
      </c>
      <c r="AI12" s="3">
        <f>IF(Table122110193440526476[[#This Row],[run 1 times]]="",999.99,IF(Table122110193440526476[[#This Row],[run 1 times]]=$AO$3,0,MAX(0,ROUND(((Table122110193440526476[[#This Row],[run 1 times]]-$AO$3)/$AO$3)*$AP$6,2))))</f>
        <v>10.9</v>
      </c>
      <c r="AJ12" s="2">
        <f>_xlfn.LET(_xlpm.x,Table122110193440526476[[#This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6.9201388888888893E-4</v>
      </c>
      <c r="AK12" s="3">
        <f>IF(Table122110193440526476[[#This Row],[run2 times]]="",999.99,IF(Table122110193440526476[[#This Row],[run2 times]]=$AP$3,0,MAX(0,ROUND(((Table122110193440526476[[#This Row],[run2 times]]-$AP$3)/$AP$3)*$AP$6,2))))</f>
        <v>70.09</v>
      </c>
      <c r="AL12" s="2">
        <f>IF(OR(Table122110193440526476[[#This Row],[run 1 times]]="",Table122110193440526476[[#This Row],[run2 times]]=""),"",Table122110193440526476[[#This Row],[run 1 times]]+Table122110193440526476[[#This Row],[run2 times]])</f>
        <v>1.3101851851851851E-3</v>
      </c>
      <c r="AM12" s="3">
        <f>IF(Table122110193440526476[[#This Row],[total time]]="",999.99,IF(Table122110193440526476[[#This Row],[total time]]=$AQ$3,0,MAX(0,ROUND(((Table122110193440526476[[#This Row],[total time]]-$AQ$3)/$AQ$3)*$AP$6,2))))</f>
        <v>40.36</v>
      </c>
    </row>
    <row r="13" spans="1:43" x14ac:dyDescent="0.3">
      <c r="A13">
        <v>46</v>
      </c>
      <c r="B13">
        <v>101</v>
      </c>
      <c r="C13" t="s">
        <v>479</v>
      </c>
      <c r="D13" t="s">
        <v>522</v>
      </c>
      <c r="E13" t="s">
        <v>889</v>
      </c>
      <c r="F13">
        <v>2013</v>
      </c>
      <c r="G13" s="1">
        <v>9.61574074074074E-4</v>
      </c>
      <c r="H13" s="1">
        <v>9.5046296296296307E-4</v>
      </c>
      <c r="I13" s="1">
        <v>1.912037037037037E-3</v>
      </c>
      <c r="K13">
        <v>106379</v>
      </c>
      <c r="L13" s="2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9.61574074074074E-4</v>
      </c>
      <c r="M13" s="3">
        <f>IF(Table127163137496173[[#This Row],[run 1 times]]="",999.99,IF(Table127163137496173[[#This Row],[run 1 times]]=$S$3,0,MAX(0,ROUND(((Table127163137496173[[#This Row],[run 1 times]]-$S$3)/$S$3)*$T$6,2))))</f>
        <v>156.08000000000001</v>
      </c>
      <c r="N13" s="2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9.5046296296296307E-4</v>
      </c>
      <c r="O13" s="3">
        <f>IF(Table127163137496173[[#This Row],[run2 times]]="",999.99,IF(Table127163137496173[[#This Row],[run2 times]]=$T$3,0,MAX(0,ROUND(((Table127163137496173[[#This Row],[run2 times]]-$T$3)/$T$3)*$T$6,2))))</f>
        <v>168.48</v>
      </c>
      <c r="P13" s="2">
        <f>IF(OR(Table127163137496173[[#This Row],[run 1 times]]="",Table127163137496173[[#This Row],[run2 times]]=""),"",Table127163137496173[[#This Row],[run 1 times]]+Table127163137496173[[#This Row],[run2 times]])</f>
        <v>1.9120370370370372E-3</v>
      </c>
      <c r="Q13" s="3">
        <f>IF(Table127163137496173[[#This Row],[total time]]="",999.99,IF(Table127163137496173[[#This Row],[total time]]=$U$3,0,MAX(0,ROUND(((Table127163137496173[[#This Row],[total time]]-$U$3)/$U$3)*$T$6,2))))</f>
        <v>158.43</v>
      </c>
      <c r="W13">
        <v>8</v>
      </c>
      <c r="X13">
        <v>149</v>
      </c>
      <c r="Y13" t="s">
        <v>257</v>
      </c>
      <c r="Z13" t="s">
        <v>572</v>
      </c>
      <c r="AA13" t="s">
        <v>763</v>
      </c>
      <c r="AB13">
        <v>2008</v>
      </c>
      <c r="AC13" s="1">
        <v>54.89</v>
      </c>
      <c r="AD13" s="1">
        <v>7.0162037037037035E-4</v>
      </c>
      <c r="AE13" s="1">
        <v>1.3369212962962961E-3</v>
      </c>
      <c r="AG13">
        <v>87497</v>
      </c>
      <c r="AH13" s="2">
        <f>_xlfn.LET(_xlpm.x,Table122110193440526476[[#This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6.3530092592592599E-4</v>
      </c>
      <c r="AI13" s="3">
        <f>IF(Table122110193440526476[[#This Row],[run 1 times]]="",999.99,IF(Table122110193440526476[[#This Row],[run 1 times]]=$AO$3,0,MAX(0,ROUND(((Table122110193440526476[[#This Row],[run 1 times]]-$AO$3)/$AO$3)*$AP$6,2))))</f>
        <v>39.18</v>
      </c>
      <c r="AJ13" s="2">
        <f>_xlfn.LET(_xlpm.x,Table122110193440526476[[#This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7.0162037037037035E-4</v>
      </c>
      <c r="AK13" s="3">
        <f>IF(Table122110193440526476[[#This Row],[run2 times]]="",999.99,IF(Table122110193440526476[[#This Row],[run2 times]]=$AP$3,0,MAX(0,ROUND(((Table122110193440526476[[#This Row],[run2 times]]-$AP$3)/$AP$3)*$AP$6,2))))</f>
        <v>85.08</v>
      </c>
      <c r="AL13" s="2">
        <f>IF(OR(Table122110193440526476[[#This Row],[run 1 times]]="",Table122110193440526476[[#This Row],[run2 times]]=""),"",Table122110193440526476[[#This Row],[run 1 times]]+Table122110193440526476[[#This Row],[run2 times]])</f>
        <v>1.3369212962962963E-3</v>
      </c>
      <c r="AM13" s="3">
        <f>IF(Table122110193440526476[[#This Row],[total time]]="",999.99,IF(Table122110193440526476[[#This Row],[total time]]=$AQ$3,0,MAX(0,ROUND(((Table122110193440526476[[#This Row],[total time]]-$AQ$3)/$AQ$3)*$AP$6,2))))</f>
        <v>61.8</v>
      </c>
    </row>
    <row r="14" spans="1:43" x14ac:dyDescent="0.3">
      <c r="A14">
        <v>48</v>
      </c>
      <c r="B14">
        <v>103</v>
      </c>
      <c r="C14" t="s">
        <v>826</v>
      </c>
      <c r="D14" t="s">
        <v>480</v>
      </c>
      <c r="E14" t="s">
        <v>891</v>
      </c>
      <c r="F14">
        <v>2014</v>
      </c>
      <c r="G14" s="1">
        <v>1.0429398148148149E-3</v>
      </c>
      <c r="H14" s="1">
        <v>9.2442129629629634E-4</v>
      </c>
      <c r="I14" s="1">
        <v>1.9673611111111111E-3</v>
      </c>
      <c r="K14">
        <v>121096</v>
      </c>
      <c r="L14" s="2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1.0429398148148149E-3</v>
      </c>
      <c r="M14" s="3">
        <f>IF(Table127163137496173[[#This Row],[run 1 times]]="",999.99,IF(Table127163137496173[[#This Row],[run 1 times]]=$S$3,0,MAX(0,ROUND(((Table127163137496173[[#This Row],[run 1 times]]-$S$3)/$S$3)*$T$6,2))))</f>
        <v>254.75</v>
      </c>
      <c r="N14" s="2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9.2442129629629634E-4</v>
      </c>
      <c r="O14" s="3">
        <f>IF(Table127163137496173[[#This Row],[run2 times]]="",999.99,IF(Table127163137496173[[#This Row],[run2 times]]=$T$3,0,MAX(0,ROUND(((Table127163137496173[[#This Row],[run2 times]]-$T$3)/$T$3)*$T$6,2))))</f>
        <v>136.19</v>
      </c>
      <c r="P14" s="2">
        <f>IF(OR(Table127163137496173[[#This Row],[run 1 times]]="",Table127163137496173[[#This Row],[run2 times]]=""),"",Table127163137496173[[#This Row],[run 1 times]]+Table127163137496173[[#This Row],[run2 times]])</f>
        <v>1.9673611111111111E-3</v>
      </c>
      <c r="Q14" s="3">
        <f>IF(Table127163137496173[[#This Row],[total time]]="",999.99,IF(Table127163137496173[[#This Row],[total time]]=$U$3,0,MAX(0,ROUND(((Table127163137496173[[#This Row],[total time]]-$U$3)/$U$3)*$T$6,2))))</f>
        <v>192.24</v>
      </c>
      <c r="W14">
        <v>10</v>
      </c>
      <c r="X14">
        <v>151</v>
      </c>
      <c r="Y14" t="s">
        <v>223</v>
      </c>
      <c r="Z14" t="s">
        <v>547</v>
      </c>
      <c r="AA14" t="s">
        <v>746</v>
      </c>
      <c r="AB14">
        <v>2011</v>
      </c>
      <c r="AC14" s="1">
        <v>59.33</v>
      </c>
      <c r="AD14" s="1">
        <v>7.2708333333333338E-4</v>
      </c>
      <c r="AE14" s="1">
        <v>1.4137731481481482E-3</v>
      </c>
      <c r="AG14">
        <v>93462</v>
      </c>
      <c r="AH14" s="2">
        <f>_xlfn.LET(_xlpm.x,Table122110193440526476[[#This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6.8668981481481478E-4</v>
      </c>
      <c r="AI14" s="3">
        <f>IF(Table122110193440526476[[#This Row],[run 1 times]]="",999.99,IF(Table122110193440526476[[#This Row],[run 1 times]]=$AO$3,0,MAX(0,ROUND(((Table122110193440526476[[#This Row],[run 1 times]]-$AO$3)/$AO$3)*$AP$6,2))))</f>
        <v>124.05</v>
      </c>
      <c r="AJ14" s="2">
        <f>_xlfn.LET(_xlpm.x,Table122110193440526476[[#This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7.2708333333333338E-4</v>
      </c>
      <c r="AK14" s="3">
        <f>IF(Table122110193440526476[[#This Row],[run2 times]]="",999.99,IF(Table122110193440526476[[#This Row],[run2 times]]=$AP$3,0,MAX(0,ROUND(((Table122110193440526476[[#This Row],[run2 times]]-$AP$3)/$AP$3)*$AP$6,2))))</f>
        <v>124.83</v>
      </c>
      <c r="AL14" s="2">
        <f>IF(OR(Table122110193440526476[[#This Row],[run 1 times]]="",Table122110193440526476[[#This Row],[run2 times]]=""),"",Table122110193440526476[[#This Row],[run 1 times]]+Table122110193440526476[[#This Row],[run2 times]])</f>
        <v>1.4137731481481482E-3</v>
      </c>
      <c r="AM14" s="3">
        <f>IF(Table122110193440526476[[#This Row],[total time]]="",999.99,IF(Table122110193440526476[[#This Row],[total time]]=$AQ$3,0,MAX(0,ROUND(((Table122110193440526476[[#This Row],[total time]]-$AQ$3)/$AQ$3)*$AP$6,2))))</f>
        <v>123.41</v>
      </c>
    </row>
    <row r="15" spans="1:43" x14ac:dyDescent="0.3">
      <c r="A15">
        <v>1</v>
      </c>
      <c r="B15">
        <v>55</v>
      </c>
      <c r="C15" t="s">
        <v>373</v>
      </c>
      <c r="D15" t="s">
        <v>480</v>
      </c>
      <c r="E15" t="s">
        <v>694</v>
      </c>
      <c r="F15">
        <v>2014</v>
      </c>
      <c r="G15" s="1">
        <v>1.0958333333333334E-3</v>
      </c>
      <c r="H15" s="1">
        <v>1.0532407407407407E-3</v>
      </c>
      <c r="I15" s="1">
        <v>2.1490740740740741E-3</v>
      </c>
      <c r="K15">
        <v>112394</v>
      </c>
      <c r="L15" s="2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1.0958333333333334E-3</v>
      </c>
      <c r="M15" s="3">
        <f>IF(Table127163137496173[[#This Row],[run 1 times]]="",999.99,IF(Table127163137496173[[#This Row],[run 1 times]]=$S$3,0,MAX(0,ROUND(((Table127163137496173[[#This Row],[run 1 times]]-$S$3)/$S$3)*$T$6,2))))</f>
        <v>318.89</v>
      </c>
      <c r="N15" s="2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1.0532407407407407E-3</v>
      </c>
      <c r="O15" s="3">
        <f>IF(Table127163137496173[[#This Row],[run2 times]]="",999.99,IF(Table127163137496173[[#This Row],[run2 times]]=$T$3,0,MAX(0,ROUND(((Table127163137496173[[#This Row],[run2 times]]-$T$3)/$T$3)*$T$6,2))))</f>
        <v>295.91000000000003</v>
      </c>
      <c r="P15" s="2">
        <f>IF(OR(Table127163137496173[[#This Row],[run 1 times]]="",Table127163137496173[[#This Row],[run2 times]]=""),"",Table127163137496173[[#This Row],[run 1 times]]+Table127163137496173[[#This Row],[run2 times]])</f>
        <v>2.1490740740740741E-3</v>
      </c>
      <c r="Q15" s="3">
        <f>IF(Table127163137496173[[#This Row],[total time]]="",999.99,IF(Table127163137496173[[#This Row],[total time]]=$U$3,0,MAX(0,ROUND(((Table127163137496173[[#This Row],[total time]]-$U$3)/$U$3)*$T$6,2))))</f>
        <v>303.27999999999997</v>
      </c>
      <c r="W15">
        <v>13</v>
      </c>
      <c r="X15">
        <v>154</v>
      </c>
      <c r="Y15" t="s">
        <v>257</v>
      </c>
      <c r="Z15" t="s">
        <v>547</v>
      </c>
      <c r="AA15" t="s">
        <v>744</v>
      </c>
      <c r="AB15">
        <v>2010</v>
      </c>
      <c r="AC15" s="1">
        <v>58.36</v>
      </c>
      <c r="AD15" s="1">
        <v>7.2465277777777773E-4</v>
      </c>
      <c r="AE15" s="1">
        <v>1.4001157407407408E-3</v>
      </c>
      <c r="AG15">
        <v>102725</v>
      </c>
      <c r="AH15" s="2">
        <f>_xlfn.LET(_xlpm.x,Table122110193440526476[[#This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6.75462962962963E-4</v>
      </c>
      <c r="AI15" s="3">
        <f>IF(Table122110193440526476[[#This Row],[run 1 times]]="",999.99,IF(Table122110193440526476[[#This Row],[run 1 times]]=$AO$3,0,MAX(0,ROUND(((Table122110193440526476[[#This Row],[run 1 times]]-$AO$3)/$AO$3)*$AP$6,2))))</f>
        <v>105.51</v>
      </c>
      <c r="AJ15" s="2">
        <f>_xlfn.LET(_xlpm.x,Table122110193440526476[[#This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7.2465277777777773E-4</v>
      </c>
      <c r="AK15" s="3">
        <f>IF(Table122110193440526476[[#This Row],[run2 times]]="",999.99,IF(Table122110193440526476[[#This Row],[run2 times]]=$AP$3,0,MAX(0,ROUND(((Table122110193440526476[[#This Row],[run2 times]]-$AP$3)/$AP$3)*$AP$6,2))))</f>
        <v>121.03</v>
      </c>
      <c r="AL15" s="2">
        <f>IF(OR(Table122110193440526476[[#This Row],[run 1 times]]="",Table122110193440526476[[#This Row],[run2 times]]=""),"",Table122110193440526476[[#This Row],[run 1 times]]+Table122110193440526476[[#This Row],[run2 times]])</f>
        <v>1.4001157407407408E-3</v>
      </c>
      <c r="AM15" s="3">
        <f>IF(Table122110193440526476[[#This Row],[total time]]="",999.99,IF(Table122110193440526476[[#This Row],[total time]]=$AQ$3,0,MAX(0,ROUND(((Table122110193440526476[[#This Row],[total time]]-$AQ$3)/$AQ$3)*$AP$6,2))))</f>
        <v>112.46</v>
      </c>
    </row>
    <row r="16" spans="1:43" x14ac:dyDescent="0.3">
      <c r="A16">
        <v>2</v>
      </c>
      <c r="B16">
        <v>56</v>
      </c>
      <c r="C16" t="s">
        <v>487</v>
      </c>
      <c r="D16" t="s">
        <v>522</v>
      </c>
      <c r="E16" t="s">
        <v>714</v>
      </c>
      <c r="F16">
        <v>2013</v>
      </c>
      <c r="G16" s="1">
        <v>9.177083333333332E-4</v>
      </c>
      <c r="H16" s="1">
        <v>8.6331018518518527E-4</v>
      </c>
      <c r="I16" s="1">
        <v>1.7810185185185184E-3</v>
      </c>
      <c r="K16">
        <v>109533</v>
      </c>
      <c r="L16" s="2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9.177083333333332E-4</v>
      </c>
      <c r="M16" s="3">
        <f>IF(Table127163137496173[[#This Row],[run 1 times]]="",999.99,IF(Table127163137496173[[#This Row],[run 1 times]]=$S$3,0,MAX(0,ROUND(((Table127163137496173[[#This Row],[run 1 times]]-$S$3)/$S$3)*$T$6,2))))</f>
        <v>102.88</v>
      </c>
      <c r="N16" s="2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8.6331018518518527E-4</v>
      </c>
      <c r="O16" s="3">
        <f>IF(Table127163137496173[[#This Row],[run2 times]]="",999.99,IF(Table127163137496173[[#This Row],[run2 times]]=$T$3,0,MAX(0,ROUND(((Table127163137496173[[#This Row],[run2 times]]-$T$3)/$T$3)*$T$6,2))))</f>
        <v>60.42</v>
      </c>
      <c r="P16" s="2">
        <f>IF(OR(Table127163137496173[[#This Row],[run 1 times]]="",Table127163137496173[[#This Row],[run2 times]]=""),"",Table127163137496173[[#This Row],[run 1 times]]+Table127163137496173[[#This Row],[run2 times]])</f>
        <v>1.7810185185185186E-3</v>
      </c>
      <c r="Q16" s="3">
        <f>IF(Table127163137496173[[#This Row],[total time]]="",999.99,IF(Table127163137496173[[#This Row],[total time]]=$U$3,0,MAX(0,ROUND(((Table127163137496173[[#This Row],[total time]]-$U$3)/$U$3)*$T$6,2))))</f>
        <v>78.37</v>
      </c>
      <c r="W16">
        <v>14</v>
      </c>
      <c r="X16">
        <v>155</v>
      </c>
      <c r="Y16" t="s">
        <v>838</v>
      </c>
      <c r="Z16" t="s">
        <v>547</v>
      </c>
      <c r="AA16" t="s">
        <v>849</v>
      </c>
      <c r="AB16">
        <v>2010</v>
      </c>
      <c r="AC16" s="1">
        <v>57.77</v>
      </c>
      <c r="AD16" s="1" t="s">
        <v>512</v>
      </c>
      <c r="AE16" s="1"/>
      <c r="AG16">
        <v>122038</v>
      </c>
      <c r="AH16" s="2">
        <f>_xlfn.LET(_xlpm.x,Table122110193440526476[[#This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6.6863425925925933E-4</v>
      </c>
      <c r="AI16" s="3">
        <f>IF(Table122110193440526476[[#This Row],[run 1 times]]="",999.99,IF(Table122110193440526476[[#This Row],[run 1 times]]=$AO$3,0,MAX(0,ROUND(((Table122110193440526476[[#This Row],[run 1 times]]-$AO$3)/$AO$3)*$AP$6,2))))</f>
        <v>94.23</v>
      </c>
      <c r="AJ16" s="2" t="str">
        <f>_xlfn.LET(_xlpm.x,Table122110193440526476[[#This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16" s="3">
        <f>IF(Table122110193440526476[[#This Row],[run2 times]]="",999.99,IF(Table122110193440526476[[#This Row],[run2 times]]=$AP$3,0,MAX(0,ROUND(((Table122110193440526476[[#This Row],[run2 times]]-$AP$3)/$AP$3)*$AP$6,2))))</f>
        <v>999.99</v>
      </c>
      <c r="AL16" s="2" t="str">
        <f>IF(OR(Table122110193440526476[[#This Row],[run 1 times]]="",Table122110193440526476[[#This Row],[run2 times]]=""),"",Table122110193440526476[[#This Row],[run 1 times]]+Table122110193440526476[[#This Row],[run2 times]])</f>
        <v/>
      </c>
      <c r="AM16" s="3">
        <f>IF(Table122110193440526476[[#This Row],[total time]]="",999.99,IF(Table122110193440526476[[#This Row],[total time]]=$AQ$3,0,MAX(0,ROUND(((Table122110193440526476[[#This Row],[total time]]-$AQ$3)/$AQ$3)*$AP$6,2))))</f>
        <v>999.99</v>
      </c>
    </row>
    <row r="17" spans="1:39" x14ac:dyDescent="0.3">
      <c r="A17">
        <v>3</v>
      </c>
      <c r="B17">
        <v>57</v>
      </c>
      <c r="C17" t="s">
        <v>223</v>
      </c>
      <c r="D17" t="s">
        <v>480</v>
      </c>
      <c r="E17" t="s">
        <v>676</v>
      </c>
      <c r="F17">
        <v>2014</v>
      </c>
      <c r="G17" s="1">
        <v>9.329861111111111E-4</v>
      </c>
      <c r="H17" s="1">
        <v>9.0486111111111117E-4</v>
      </c>
      <c r="I17" s="1">
        <v>1.8378472222222221E-3</v>
      </c>
      <c r="K17">
        <v>107257</v>
      </c>
      <c r="L17" s="2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9.329861111111111E-4</v>
      </c>
      <c r="M17" s="3">
        <f>IF(Table127163137496173[[#This Row],[run 1 times]]="",999.99,IF(Table127163137496173[[#This Row],[run 1 times]]=$S$3,0,MAX(0,ROUND(((Table127163137496173[[#This Row],[run 1 times]]-$S$3)/$S$3)*$T$6,2))))</f>
        <v>121.41</v>
      </c>
      <c r="N17" s="2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9.0486111111111117E-4</v>
      </c>
      <c r="O17" s="3">
        <f>IF(Table127163137496173[[#This Row],[run2 times]]="",999.99,IF(Table127163137496173[[#This Row],[run2 times]]=$T$3,0,MAX(0,ROUND(((Table127163137496173[[#This Row],[run2 times]]-$T$3)/$T$3)*$T$6,2))))</f>
        <v>111.94</v>
      </c>
      <c r="P17" s="2">
        <f>IF(OR(Table127163137496173[[#This Row],[run 1 times]]="",Table127163137496173[[#This Row],[run2 times]]=""),"",Table127163137496173[[#This Row],[run 1 times]]+Table127163137496173[[#This Row],[run2 times]])</f>
        <v>1.8378472222222223E-3</v>
      </c>
      <c r="Q17" s="3">
        <f>IF(Table127163137496173[[#This Row],[total time]]="",999.99,IF(Table127163137496173[[#This Row],[total time]]=$U$3,0,MAX(0,ROUND(((Table127163137496173[[#This Row],[total time]]-$U$3)/$U$3)*$T$6,2))))</f>
        <v>113.09</v>
      </c>
      <c r="W17">
        <v>15</v>
      </c>
      <c r="X17">
        <v>156</v>
      </c>
      <c r="Y17" t="s">
        <v>487</v>
      </c>
      <c r="Z17" t="s">
        <v>547</v>
      </c>
      <c r="AA17" t="s">
        <v>841</v>
      </c>
      <c r="AB17">
        <v>2010</v>
      </c>
      <c r="AC17" s="1" t="s">
        <v>518</v>
      </c>
      <c r="AD17" s="1" t="s">
        <v>512</v>
      </c>
      <c r="AE17" s="1"/>
      <c r="AG17">
        <v>93779</v>
      </c>
      <c r="AH17" s="2" t="str">
        <f>_xlfn.LET(_xlpm.x,Table122110193440526476[[#This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17" s="3">
        <f>IF(Table122110193440526476[[#This Row],[run 1 times]]="",999.99,IF(Table122110193440526476[[#This Row],[run 1 times]]=$AO$3,0,MAX(0,ROUND(((Table122110193440526476[[#This Row],[run 1 times]]-$AO$3)/$AO$3)*$AP$6,2))))</f>
        <v>999.99</v>
      </c>
      <c r="AJ17" s="2" t="str">
        <f>_xlfn.LET(_xlpm.x,Table122110193440526476[[#This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17" s="3">
        <f>IF(Table122110193440526476[[#This Row],[run2 times]]="",999.99,IF(Table122110193440526476[[#This Row],[run2 times]]=$AP$3,0,MAX(0,ROUND(((Table122110193440526476[[#This Row],[run2 times]]-$AP$3)/$AP$3)*$AP$6,2))))</f>
        <v>999.99</v>
      </c>
      <c r="AL17" s="2" t="str">
        <f>IF(OR(Table122110193440526476[[#This Row],[run 1 times]]="",Table122110193440526476[[#This Row],[run2 times]]=""),"",Table122110193440526476[[#This Row],[run 1 times]]+Table122110193440526476[[#This Row],[run2 times]])</f>
        <v/>
      </c>
      <c r="AM17" s="3">
        <f>IF(Table122110193440526476[[#This Row],[total time]]="",999.99,IF(Table122110193440526476[[#This Row],[total time]]=$AQ$3,0,MAX(0,ROUND(((Table122110193440526476[[#This Row],[total time]]-$AQ$3)/$AQ$3)*$AP$6,2))))</f>
        <v>999.99</v>
      </c>
    </row>
    <row r="18" spans="1:39" x14ac:dyDescent="0.3">
      <c r="A18">
        <v>5</v>
      </c>
      <c r="B18">
        <v>59</v>
      </c>
      <c r="C18" t="s">
        <v>479</v>
      </c>
      <c r="D18" t="s">
        <v>522</v>
      </c>
      <c r="E18" t="s">
        <v>677</v>
      </c>
      <c r="F18">
        <v>2012</v>
      </c>
      <c r="G18" s="1">
        <v>9.488425925925926E-4</v>
      </c>
      <c r="H18" s="1">
        <v>8.9641203703703703E-4</v>
      </c>
      <c r="I18" s="1">
        <v>1.8452546296296296E-3</v>
      </c>
      <c r="K18">
        <v>102357</v>
      </c>
      <c r="L18" s="2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9.488425925925926E-4</v>
      </c>
      <c r="M18" s="3">
        <f>IF(Table127163137496173[[#This Row],[run 1 times]]="",999.99,IF(Table127163137496173[[#This Row],[run 1 times]]=$S$3,0,MAX(0,ROUND(((Table127163137496173[[#This Row],[run 1 times]]-$S$3)/$S$3)*$T$6,2))))</f>
        <v>140.63999999999999</v>
      </c>
      <c r="N18" s="2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8.9641203703703703E-4</v>
      </c>
      <c r="O18" s="3">
        <f>IF(Table127163137496173[[#This Row],[run2 times]]="",999.99,IF(Table127163137496173[[#This Row],[run2 times]]=$T$3,0,MAX(0,ROUND(((Table127163137496173[[#This Row],[run2 times]]-$T$3)/$T$3)*$T$6,2))))</f>
        <v>101.46</v>
      </c>
      <c r="P18" s="2">
        <f>IF(OR(Table127163137496173[[#This Row],[run 1 times]]="",Table127163137496173[[#This Row],[run2 times]]=""),"",Table127163137496173[[#This Row],[run 1 times]]+Table127163137496173[[#This Row],[run2 times]])</f>
        <v>1.8452546296296296E-3</v>
      </c>
      <c r="Q18" s="3">
        <f>IF(Table127163137496173[[#This Row],[total time]]="",999.99,IF(Table127163137496173[[#This Row],[total time]]=$U$3,0,MAX(0,ROUND(((Table127163137496173[[#This Row],[total time]]-$U$3)/$U$3)*$T$6,2))))</f>
        <v>117.62</v>
      </c>
      <c r="W18">
        <v>16</v>
      </c>
      <c r="X18">
        <v>157</v>
      </c>
      <c r="Y18" t="s">
        <v>223</v>
      </c>
      <c r="Z18" t="s">
        <v>547</v>
      </c>
      <c r="AA18" t="s">
        <v>745</v>
      </c>
      <c r="AB18">
        <v>2011</v>
      </c>
      <c r="AC18" s="1">
        <v>57.68</v>
      </c>
      <c r="AD18" s="1">
        <v>6.9942129629629629E-4</v>
      </c>
      <c r="AE18" s="1">
        <v>1.367013888888889E-3</v>
      </c>
      <c r="AG18">
        <v>102458</v>
      </c>
      <c r="AH18" s="2">
        <f>_xlfn.LET(_xlpm.x,Table122110193440526476[[#This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6.6759259259259256E-4</v>
      </c>
      <c r="AI18" s="3">
        <f>IF(Table122110193440526476[[#This Row],[run 1 times]]="",999.99,IF(Table122110193440526476[[#This Row],[run 1 times]]=$AO$3,0,MAX(0,ROUND(((Table122110193440526476[[#This Row],[run 1 times]]-$AO$3)/$AO$3)*$AP$6,2))))</f>
        <v>92.51</v>
      </c>
      <c r="AJ18" s="2">
        <f>_xlfn.LET(_xlpm.x,Table122110193440526476[[#This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6.9942129629629629E-4</v>
      </c>
      <c r="AK18" s="3">
        <f>IF(Table122110193440526476[[#This Row],[run2 times]]="",999.99,IF(Table122110193440526476[[#This Row],[run2 times]]=$AP$3,0,MAX(0,ROUND(((Table122110193440526476[[#This Row],[run2 times]]-$AP$3)/$AP$3)*$AP$6,2))))</f>
        <v>81.650000000000006</v>
      </c>
      <c r="AL18" s="2">
        <f>IF(OR(Table122110193440526476[[#This Row],[run 1 times]]="",Table122110193440526476[[#This Row],[run2 times]]=""),"",Table122110193440526476[[#This Row],[run 1 times]]+Table122110193440526476[[#This Row],[run2 times]])</f>
        <v>1.367013888888889E-3</v>
      </c>
      <c r="AM18" s="3">
        <f>IF(Table122110193440526476[[#This Row],[total time]]="",999.99,IF(Table122110193440526476[[#This Row],[total time]]=$AQ$3,0,MAX(0,ROUND(((Table122110193440526476[[#This Row],[total time]]-$AQ$3)/$AQ$3)*$AP$6,2))))</f>
        <v>85.92</v>
      </c>
    </row>
    <row r="19" spans="1:39" x14ac:dyDescent="0.3">
      <c r="A19">
        <v>8</v>
      </c>
      <c r="B19">
        <v>62</v>
      </c>
      <c r="C19" t="s">
        <v>479</v>
      </c>
      <c r="D19" t="s">
        <v>522</v>
      </c>
      <c r="E19" t="s">
        <v>700</v>
      </c>
      <c r="F19">
        <v>2013</v>
      </c>
      <c r="G19" s="1">
        <v>8.8900462962962967E-4</v>
      </c>
      <c r="H19" s="1">
        <v>8.9317129629629631E-4</v>
      </c>
      <c r="I19" s="1">
        <v>1.7821759259259258E-3</v>
      </c>
      <c r="K19">
        <v>101432</v>
      </c>
      <c r="L19" s="2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8.8900462962962967E-4</v>
      </c>
      <c r="M19" s="3">
        <f>IF(Table127163137496173[[#This Row],[run 1 times]]="",999.99,IF(Table127163137496173[[#This Row],[run 1 times]]=$S$3,0,MAX(0,ROUND(((Table127163137496173[[#This Row],[run 1 times]]-$S$3)/$S$3)*$T$6,2))))</f>
        <v>68.069999999999993</v>
      </c>
      <c r="N19" s="2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8.9317129629629631E-4</v>
      </c>
      <c r="O19" s="3">
        <f>IF(Table127163137496173[[#This Row],[run2 times]]="",999.99,IF(Table127163137496173[[#This Row],[run2 times]]=$T$3,0,MAX(0,ROUND(((Table127163137496173[[#This Row],[run2 times]]-$T$3)/$T$3)*$T$6,2))))</f>
        <v>97.44</v>
      </c>
      <c r="P19" s="2">
        <f>IF(OR(Table127163137496173[[#This Row],[run 1 times]]="",Table127163137496173[[#This Row],[run2 times]]=""),"",Table127163137496173[[#This Row],[run 1 times]]+Table127163137496173[[#This Row],[run2 times]])</f>
        <v>1.782175925925926E-3</v>
      </c>
      <c r="Q19" s="3">
        <f>IF(Table127163137496173[[#This Row],[total time]]="",999.99,IF(Table127163137496173[[#This Row],[total time]]=$U$3,0,MAX(0,ROUND(((Table127163137496173[[#This Row],[total time]]-$U$3)/$U$3)*$T$6,2))))</f>
        <v>79.069999999999993</v>
      </c>
      <c r="W19">
        <v>17</v>
      </c>
      <c r="X19">
        <v>158</v>
      </c>
      <c r="Y19" t="s">
        <v>24</v>
      </c>
      <c r="Z19" t="s">
        <v>547</v>
      </c>
      <c r="AA19" t="s">
        <v>759</v>
      </c>
      <c r="AB19">
        <v>2011</v>
      </c>
      <c r="AC19" s="1">
        <v>57.59</v>
      </c>
      <c r="AD19" s="1">
        <v>7.104166666666667E-4</v>
      </c>
      <c r="AE19" s="1">
        <v>1.3769675925925926E-3</v>
      </c>
      <c r="AG19">
        <v>88784</v>
      </c>
      <c r="AH19" s="2">
        <f>_xlfn.LET(_xlpm.x,Table122110193440526476[[#This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6.6655092592592601E-4</v>
      </c>
      <c r="AI19" s="3">
        <f>IF(Table122110193440526476[[#This Row],[run 1 times]]="",999.99,IF(Table122110193440526476[[#This Row],[run 1 times]]=$AO$3,0,MAX(0,ROUND(((Table122110193440526476[[#This Row],[run 1 times]]-$AO$3)/$AO$3)*$AP$6,2))))</f>
        <v>90.79</v>
      </c>
      <c r="AJ19" s="2">
        <f>_xlfn.LET(_xlpm.x,Table122110193440526476[[#This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7.104166666666667E-4</v>
      </c>
      <c r="AK19" s="3">
        <f>IF(Table122110193440526476[[#This Row],[run2 times]]="",999.99,IF(Table122110193440526476[[#This Row],[run2 times]]=$AP$3,0,MAX(0,ROUND(((Table122110193440526476[[#This Row],[run2 times]]-$AP$3)/$AP$3)*$AP$6,2))))</f>
        <v>98.81</v>
      </c>
      <c r="AL19" s="2">
        <f>IF(OR(Table122110193440526476[[#This Row],[run 1 times]]="",Table122110193440526476[[#This Row],[run2 times]]=""),"",Table122110193440526476[[#This Row],[run 1 times]]+Table122110193440526476[[#This Row],[run2 times]])</f>
        <v>1.3769675925925928E-3</v>
      </c>
      <c r="AM19" s="3">
        <f>IF(Table122110193440526476[[#This Row],[total time]]="",999.99,IF(Table122110193440526476[[#This Row],[total time]]=$AQ$3,0,MAX(0,ROUND(((Table122110193440526476[[#This Row],[total time]]-$AQ$3)/$AQ$3)*$AP$6,2))))</f>
        <v>93.9</v>
      </c>
    </row>
    <row r="20" spans="1:39" x14ac:dyDescent="0.3">
      <c r="A20">
        <v>9</v>
      </c>
      <c r="B20">
        <v>63</v>
      </c>
      <c r="C20" t="s">
        <v>257</v>
      </c>
      <c r="D20" t="s">
        <v>480</v>
      </c>
      <c r="E20" t="s">
        <v>671</v>
      </c>
      <c r="F20">
        <v>2015</v>
      </c>
      <c r="G20" s="1">
        <v>8.3819444444444447E-4</v>
      </c>
      <c r="H20" s="1">
        <v>8.1458333333333328E-4</v>
      </c>
      <c r="I20" s="1">
        <v>1.652777777777778E-3</v>
      </c>
      <c r="K20">
        <v>119078</v>
      </c>
      <c r="L20" s="2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8.3819444444444447E-4</v>
      </c>
      <c r="M20" s="3">
        <f>IF(Table127163137496173[[#This Row],[run 1 times]]="",999.99,IF(Table127163137496173[[#This Row],[run 1 times]]=$S$3,0,MAX(0,ROUND(((Table127163137496173[[#This Row],[run 1 times]]-$S$3)/$S$3)*$T$6,2))))</f>
        <v>6.46</v>
      </c>
      <c r="N20" s="2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8.1458333333333328E-4</v>
      </c>
      <c r="O20" s="3">
        <f>IF(Table127163137496173[[#This Row],[run2 times]]="",999.99,IF(Table127163137496173[[#This Row],[run2 times]]=$T$3,0,MAX(0,ROUND(((Table127163137496173[[#This Row],[run2 times]]-$T$3)/$T$3)*$T$6,2))))</f>
        <v>0</v>
      </c>
      <c r="P20" s="2">
        <f>IF(OR(Table127163137496173[[#This Row],[run 1 times]]="",Table127163137496173[[#This Row],[run2 times]]=""),"",Table127163137496173[[#This Row],[run 1 times]]+Table127163137496173[[#This Row],[run2 times]])</f>
        <v>1.6527777777777778E-3</v>
      </c>
      <c r="Q20" s="3">
        <f>IF(Table127163137496173[[#This Row],[total time]]="",999.99,IF(Table127163137496173[[#This Row],[total time]]=$U$3,0,MAX(0,ROUND(((Table127163137496173[[#This Row],[total time]]-$U$3)/$U$3)*$T$6,2))))</f>
        <v>0</v>
      </c>
      <c r="W20">
        <v>18</v>
      </c>
      <c r="X20">
        <v>159</v>
      </c>
      <c r="Y20" t="s">
        <v>257</v>
      </c>
      <c r="Z20" t="s">
        <v>547</v>
      </c>
      <c r="AA20" t="s">
        <v>766</v>
      </c>
      <c r="AB20">
        <v>2011</v>
      </c>
      <c r="AC20" s="1">
        <v>57.91</v>
      </c>
      <c r="AD20" s="1">
        <v>7.0729166666666662E-4</v>
      </c>
      <c r="AE20" s="1">
        <v>1.3775462962962964E-3</v>
      </c>
      <c r="AG20">
        <v>102722</v>
      </c>
      <c r="AH20" s="2">
        <f>_xlfn.LET(_xlpm.x,Table122110193440526476[[#This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6.7025462962962959E-4</v>
      </c>
      <c r="AI20" s="3">
        <f>IF(Table122110193440526476[[#This Row],[run 1 times]]="",999.99,IF(Table122110193440526476[[#This Row],[run 1 times]]=$AO$3,0,MAX(0,ROUND(((Table122110193440526476[[#This Row],[run 1 times]]-$AO$3)/$AO$3)*$AP$6,2))))</f>
        <v>96.91</v>
      </c>
      <c r="AJ20" s="2">
        <f>_xlfn.LET(_xlpm.x,Table122110193440526476[[#This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7.0729166666666662E-4</v>
      </c>
      <c r="AK20" s="3">
        <f>IF(Table122110193440526476[[#This Row],[run2 times]]="",999.99,IF(Table122110193440526476[[#This Row],[run2 times]]=$AP$3,0,MAX(0,ROUND(((Table122110193440526476[[#This Row],[run2 times]]-$AP$3)/$AP$3)*$AP$6,2))))</f>
        <v>93.94</v>
      </c>
      <c r="AL20" s="2">
        <f>IF(OR(Table122110193440526476[[#This Row],[run 1 times]]="",Table122110193440526476[[#This Row],[run2 times]]=""),"",Table122110193440526476[[#This Row],[run 1 times]]+Table122110193440526476[[#This Row],[run2 times]])</f>
        <v>1.3775462962962962E-3</v>
      </c>
      <c r="AM20" s="3">
        <f>IF(Table122110193440526476[[#This Row],[total time]]="",999.99,IF(Table122110193440526476[[#This Row],[total time]]=$AQ$3,0,MAX(0,ROUND(((Table122110193440526476[[#This Row],[total time]]-$AQ$3)/$AQ$3)*$AP$6,2))))</f>
        <v>94.37</v>
      </c>
    </row>
    <row r="21" spans="1:39" x14ac:dyDescent="0.3">
      <c r="A21">
        <v>10</v>
      </c>
      <c r="B21">
        <v>64</v>
      </c>
      <c r="C21" t="s">
        <v>487</v>
      </c>
      <c r="D21" t="s">
        <v>480</v>
      </c>
      <c r="E21" t="s">
        <v>876</v>
      </c>
      <c r="F21">
        <v>2015</v>
      </c>
      <c r="G21" s="1">
        <v>1.2230324074074075E-3</v>
      </c>
      <c r="H21" s="1">
        <v>1.1241898148148148E-3</v>
      </c>
      <c r="I21" s="1">
        <v>2.3472222222222223E-3</v>
      </c>
      <c r="K21">
        <v>108844</v>
      </c>
      <c r="L21" s="2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1.2230324074074075E-3</v>
      </c>
      <c r="M21" s="3">
        <f>IF(Table127163137496173[[#This Row],[run 1 times]]="",999.99,IF(Table127163137496173[[#This Row],[run 1 times]]=$S$3,0,MAX(0,ROUND(((Table127163137496173[[#This Row],[run 1 times]]-$S$3)/$S$3)*$T$6,2))))</f>
        <v>473.14</v>
      </c>
      <c r="N21" s="2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1.1241898148148148E-3</v>
      </c>
      <c r="O21" s="3">
        <f>IF(Table127163137496173[[#This Row],[run2 times]]="",999.99,IF(Table127163137496173[[#This Row],[run2 times]]=$T$3,0,MAX(0,ROUND(((Table127163137496173[[#This Row],[run2 times]]-$T$3)/$T$3)*$T$6,2))))</f>
        <v>383.88</v>
      </c>
      <c r="P21" s="2">
        <f>IF(OR(Table127163137496173[[#This Row],[run 1 times]]="",Table127163137496173[[#This Row],[run2 times]]=""),"",Table127163137496173[[#This Row],[run 1 times]]+Table127163137496173[[#This Row],[run2 times]])</f>
        <v>2.3472222222222223E-3</v>
      </c>
      <c r="Q21" s="3">
        <f>IF(Table127163137496173[[#This Row],[total time]]="",999.99,IF(Table127163137496173[[#This Row],[total time]]=$U$3,0,MAX(0,ROUND(((Table127163137496173[[#This Row],[total time]]-$U$3)/$U$3)*$T$6,2))))</f>
        <v>424.37</v>
      </c>
      <c r="W21">
        <v>19</v>
      </c>
      <c r="X21">
        <v>160</v>
      </c>
      <c r="Y21" t="s">
        <v>487</v>
      </c>
      <c r="Z21" t="s">
        <v>572</v>
      </c>
      <c r="AA21" t="s">
        <v>842</v>
      </c>
      <c r="AB21">
        <v>2009</v>
      </c>
      <c r="AC21" s="1">
        <v>54.28</v>
      </c>
      <c r="AD21" s="1">
        <v>59.2</v>
      </c>
      <c r="AE21" s="1">
        <v>1.3134259259259258E-3</v>
      </c>
      <c r="AG21">
        <v>88392</v>
      </c>
      <c r="AH21" s="2">
        <f>_xlfn.LET(_xlpm.x,Table122110193440526476[[#This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6.2824074074074073E-4</v>
      </c>
      <c r="AI21" s="3">
        <f>IF(Table122110193440526476[[#This Row],[run 1 times]]="",999.99,IF(Table122110193440526476[[#This Row],[run 1 times]]=$AO$3,0,MAX(0,ROUND(((Table122110193440526476[[#This Row],[run 1 times]]-$AO$3)/$AO$3)*$AP$6,2))))</f>
        <v>27.52</v>
      </c>
      <c r="AJ21" s="2">
        <f>_xlfn.LET(_xlpm.x,Table122110193440526476[[#This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6.8518518518518527E-4</v>
      </c>
      <c r="AK21" s="3">
        <f>IF(Table122110193440526476[[#This Row],[run2 times]]="",999.99,IF(Table122110193440526476[[#This Row],[run2 times]]=$AP$3,0,MAX(0,ROUND(((Table122110193440526476[[#This Row],[run2 times]]-$AP$3)/$AP$3)*$AP$6,2))))</f>
        <v>59.43</v>
      </c>
      <c r="AL21" s="2">
        <f>IF(OR(Table122110193440526476[[#This Row],[run 1 times]]="",Table122110193440526476[[#This Row],[run2 times]]=""),"",Table122110193440526476[[#This Row],[run 1 times]]+Table122110193440526476[[#This Row],[run2 times]])</f>
        <v>1.313425925925926E-3</v>
      </c>
      <c r="AM21" s="3">
        <f>IF(Table122110193440526476[[#This Row],[total time]]="",999.99,IF(Table122110193440526476[[#This Row],[total time]]=$AQ$3,0,MAX(0,ROUND(((Table122110193440526476[[#This Row],[total time]]-$AQ$3)/$AQ$3)*$AP$6,2))))</f>
        <v>42.96</v>
      </c>
    </row>
    <row r="22" spans="1:39" x14ac:dyDescent="0.3">
      <c r="A22">
        <v>11</v>
      </c>
      <c r="B22">
        <v>65</v>
      </c>
      <c r="C22" t="s">
        <v>373</v>
      </c>
      <c r="D22" t="s">
        <v>522</v>
      </c>
      <c r="E22" t="s">
        <v>674</v>
      </c>
      <c r="F22">
        <v>2012</v>
      </c>
      <c r="G22" s="1" t="s">
        <v>512</v>
      </c>
      <c r="H22" s="1">
        <v>8.2939814814814812E-4</v>
      </c>
      <c r="I22" s="1"/>
      <c r="K22">
        <v>122060</v>
      </c>
      <c r="L22" s="2" t="str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22" s="3">
        <f>IF(Table127163137496173[[#This Row],[run 1 times]]="",999.99,IF(Table127163137496173[[#This Row],[run 1 times]]=$S$3,0,MAX(0,ROUND(((Table127163137496173[[#This Row],[run 1 times]]-$S$3)/$S$3)*$T$6,2))))</f>
        <v>999.99</v>
      </c>
      <c r="N22" s="2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8.2939814814814812E-4</v>
      </c>
      <c r="O22" s="3">
        <f>IF(Table127163137496173[[#This Row],[run2 times]]="",999.99,IF(Table127163137496173[[#This Row],[run2 times]]=$T$3,0,MAX(0,ROUND(((Table127163137496173[[#This Row],[run2 times]]-$T$3)/$T$3)*$T$6,2))))</f>
        <v>18.37</v>
      </c>
      <c r="P22" s="2" t="str">
        <f>IF(OR(Table127163137496173[[#This Row],[run 1 times]]="",Table127163137496173[[#This Row],[run2 times]]=""),"",Table127163137496173[[#This Row],[run 1 times]]+Table127163137496173[[#This Row],[run2 times]])</f>
        <v/>
      </c>
      <c r="Q22" s="3">
        <f>IF(Table127163137496173[[#This Row],[total time]]="",999.99,IF(Table127163137496173[[#This Row],[total time]]=$U$3,0,MAX(0,ROUND(((Table127163137496173[[#This Row],[total time]]-$U$3)/$U$3)*$T$6,2))))</f>
        <v>999.99</v>
      </c>
      <c r="W22">
        <v>20</v>
      </c>
      <c r="X22">
        <v>161</v>
      </c>
      <c r="Y22" t="s">
        <v>24</v>
      </c>
      <c r="Z22" t="s">
        <v>547</v>
      </c>
      <c r="AA22" t="s">
        <v>850</v>
      </c>
      <c r="AB22">
        <v>2010</v>
      </c>
      <c r="AC22" s="1" t="s">
        <v>512</v>
      </c>
      <c r="AD22" s="1">
        <v>7.5347222222222211E-4</v>
      </c>
      <c r="AE22" s="1"/>
      <c r="AG22">
        <v>87565</v>
      </c>
      <c r="AH22" s="2" t="str">
        <f>_xlfn.LET(_xlpm.x,Table122110193440526476[[#This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22" s="3">
        <f>IF(Table122110193440526476[[#This Row],[run 1 times]]="",999.99,IF(Table122110193440526476[[#This Row],[run 1 times]]=$AO$3,0,MAX(0,ROUND(((Table122110193440526476[[#This Row],[run 1 times]]-$AO$3)/$AO$3)*$AP$6,2))))</f>
        <v>999.99</v>
      </c>
      <c r="AJ22" s="2">
        <f>_xlfn.LET(_xlpm.x,Table122110193440526476[[#This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7.5347222222222211E-4</v>
      </c>
      <c r="AK22" s="3">
        <f>IF(Table122110193440526476[[#This Row],[run2 times]]="",999.99,IF(Table122110193440526476[[#This Row],[run2 times]]=$AP$3,0,MAX(0,ROUND(((Table122110193440526476[[#This Row],[run2 times]]-$AP$3)/$AP$3)*$AP$6,2))))</f>
        <v>166.02</v>
      </c>
      <c r="AL22" s="2" t="str">
        <f>IF(OR(Table122110193440526476[[#This Row],[run 1 times]]="",Table122110193440526476[[#This Row],[run2 times]]=""),"",Table122110193440526476[[#This Row],[run 1 times]]+Table122110193440526476[[#This Row],[run2 times]])</f>
        <v/>
      </c>
      <c r="AM22" s="3">
        <f>IF(Table122110193440526476[[#This Row],[total time]]="",999.99,IF(Table122110193440526476[[#This Row],[total time]]=$AQ$3,0,MAX(0,ROUND(((Table122110193440526476[[#This Row],[total time]]-$AQ$3)/$AQ$3)*$AP$6,2))))</f>
        <v>999.99</v>
      </c>
    </row>
    <row r="23" spans="1:39" x14ac:dyDescent="0.3">
      <c r="A23">
        <v>12</v>
      </c>
      <c r="B23">
        <v>66</v>
      </c>
      <c r="C23" t="s">
        <v>257</v>
      </c>
      <c r="D23" t="s">
        <v>522</v>
      </c>
      <c r="E23" t="s">
        <v>708</v>
      </c>
      <c r="F23">
        <v>2013</v>
      </c>
      <c r="G23" s="1">
        <v>1.080787037037037E-3</v>
      </c>
      <c r="H23" s="1">
        <v>9.8668981481481481E-4</v>
      </c>
      <c r="I23" s="1">
        <v>2.0674768518518516E-3</v>
      </c>
      <c r="K23">
        <v>120663</v>
      </c>
      <c r="L23" s="2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1.080787037037037E-3</v>
      </c>
      <c r="M23" s="3">
        <f>IF(Table127163137496173[[#This Row],[run 1 times]]="",999.99,IF(Table127163137496173[[#This Row],[run 1 times]]=$S$3,0,MAX(0,ROUND(((Table127163137496173[[#This Row],[run 1 times]]-$S$3)/$S$3)*$T$6,2))))</f>
        <v>300.64</v>
      </c>
      <c r="N23" s="2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9.8668981481481481E-4</v>
      </c>
      <c r="O23" s="3">
        <f>IF(Table127163137496173[[#This Row],[run2 times]]="",999.99,IF(Table127163137496173[[#This Row],[run2 times]]=$T$3,0,MAX(0,ROUND(((Table127163137496173[[#This Row],[run2 times]]-$T$3)/$T$3)*$T$6,2))))</f>
        <v>213.39</v>
      </c>
      <c r="P23" s="2">
        <f>IF(OR(Table127163137496173[[#This Row],[run 1 times]]="",Table127163137496173[[#This Row],[run2 times]]=""),"",Table127163137496173[[#This Row],[run 1 times]]+Table127163137496173[[#This Row],[run2 times]])</f>
        <v>2.0674768518518516E-3</v>
      </c>
      <c r="Q23" s="3">
        <f>IF(Table127163137496173[[#This Row],[total time]]="",999.99,IF(Table127163137496173[[#This Row],[total time]]=$U$3,0,MAX(0,ROUND(((Table127163137496173[[#This Row],[total time]]-$U$3)/$U$3)*$T$6,2))))</f>
        <v>253.42</v>
      </c>
      <c r="W23">
        <v>21</v>
      </c>
      <c r="X23">
        <v>162</v>
      </c>
      <c r="Y23" t="s">
        <v>223</v>
      </c>
      <c r="Z23" t="s">
        <v>572</v>
      </c>
      <c r="AA23" t="s">
        <v>756</v>
      </c>
      <c r="AB23">
        <v>2008</v>
      </c>
      <c r="AC23" s="1">
        <v>55.1</v>
      </c>
      <c r="AD23" s="1">
        <v>58.66</v>
      </c>
      <c r="AE23" s="1">
        <v>1.3166666666666665E-3</v>
      </c>
      <c r="AG23">
        <v>87549</v>
      </c>
      <c r="AH23" s="2">
        <f>_xlfn.LET(_xlpm.x,Table122110193440526476[[#This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6.3773148148148153E-4</v>
      </c>
      <c r="AI23" s="3">
        <f>IF(Table122110193440526476[[#This Row],[run 1 times]]="",999.99,IF(Table122110193440526476[[#This Row],[run 1 times]]=$AO$3,0,MAX(0,ROUND(((Table122110193440526476[[#This Row],[run 1 times]]-$AO$3)/$AO$3)*$AP$6,2))))</f>
        <v>43.2</v>
      </c>
      <c r="AJ23" s="2">
        <f>_xlfn.LET(_xlpm.x,Table122110193440526476[[#This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6.789351851851852E-4</v>
      </c>
      <c r="AK23" s="3">
        <f>IF(Table122110193440526476[[#This Row],[run2 times]]="",999.99,IF(Table122110193440526476[[#This Row],[run2 times]]=$AP$3,0,MAX(0,ROUND(((Table122110193440526476[[#This Row],[run2 times]]-$AP$3)/$AP$3)*$AP$6,2))))</f>
        <v>49.68</v>
      </c>
      <c r="AL23" s="2">
        <f>IF(OR(Table122110193440526476[[#This Row],[run 1 times]]="",Table122110193440526476[[#This Row],[run2 times]]=""),"",Table122110193440526476[[#This Row],[run 1 times]]+Table122110193440526476[[#This Row],[run2 times]])</f>
        <v>1.3166666666666667E-3</v>
      </c>
      <c r="AM23" s="3">
        <f>IF(Table122110193440526476[[#This Row],[total time]]="",999.99,IF(Table122110193440526476[[#This Row],[total time]]=$AQ$3,0,MAX(0,ROUND(((Table122110193440526476[[#This Row],[total time]]-$AQ$3)/$AQ$3)*$AP$6,2))))</f>
        <v>45.56</v>
      </c>
    </row>
    <row r="24" spans="1:39" x14ac:dyDescent="0.3">
      <c r="A24">
        <v>13</v>
      </c>
      <c r="B24">
        <v>67</v>
      </c>
      <c r="C24" t="s">
        <v>838</v>
      </c>
      <c r="D24" t="s">
        <v>480</v>
      </c>
      <c r="E24" t="s">
        <v>877</v>
      </c>
      <c r="F24">
        <v>2015</v>
      </c>
      <c r="G24" s="1">
        <v>1.1390046296296296E-3</v>
      </c>
      <c r="H24" s="1">
        <v>1.0776620370370371E-3</v>
      </c>
      <c r="I24" s="1">
        <v>2.2166666666666667E-3</v>
      </c>
      <c r="K24">
        <v>124168</v>
      </c>
      <c r="L24" s="2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1.1390046296296296E-3</v>
      </c>
      <c r="M24" s="3">
        <f>IF(Table127163137496173[[#This Row],[run 1 times]]="",999.99,IF(Table127163137496173[[#This Row],[run 1 times]]=$S$3,0,MAX(0,ROUND(((Table127163137496173[[#This Row],[run 1 times]]-$S$3)/$S$3)*$T$6,2))))</f>
        <v>371.24</v>
      </c>
      <c r="N24" s="2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1.0776620370370371E-3</v>
      </c>
      <c r="O24" s="3">
        <f>IF(Table127163137496173[[#This Row],[run2 times]]="",999.99,IF(Table127163137496173[[#This Row],[run2 times]]=$T$3,0,MAX(0,ROUND(((Table127163137496173[[#This Row],[run2 times]]-$T$3)/$T$3)*$T$6,2))))</f>
        <v>326.19</v>
      </c>
      <c r="P24" s="2">
        <f>IF(OR(Table127163137496173[[#This Row],[run 1 times]]="",Table127163137496173[[#This Row],[run2 times]]=""),"",Table127163137496173[[#This Row],[run 1 times]]+Table127163137496173[[#This Row],[run2 times]])</f>
        <v>2.2166666666666667E-3</v>
      </c>
      <c r="Q24" s="3">
        <f>IF(Table127163137496173[[#This Row],[total time]]="",999.99,IF(Table127163137496173[[#This Row],[total time]]=$U$3,0,MAX(0,ROUND(((Table127163137496173[[#This Row],[total time]]-$U$3)/$U$3)*$T$6,2))))</f>
        <v>344.59</v>
      </c>
      <c r="W24">
        <v>22</v>
      </c>
      <c r="X24">
        <v>163</v>
      </c>
      <c r="Y24" t="s">
        <v>487</v>
      </c>
      <c r="Z24" t="s">
        <v>547</v>
      </c>
      <c r="AA24" t="s">
        <v>747</v>
      </c>
      <c r="AB24">
        <v>2011</v>
      </c>
      <c r="AC24" s="1">
        <v>7.7245370370370369E-4</v>
      </c>
      <c r="AD24" s="1">
        <v>8.1342592592592599E-4</v>
      </c>
      <c r="AE24" s="1">
        <v>1.5858796296296298E-3</v>
      </c>
      <c r="AG24">
        <v>88900</v>
      </c>
      <c r="AH24" s="2">
        <f>_xlfn.LET(_xlpm.x,Table122110193440526476[[#This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7.7245370370370369E-4</v>
      </c>
      <c r="AI24" s="3">
        <f>IF(Table122110193440526476[[#This Row],[run 1 times]]="",999.99,IF(Table122110193440526476[[#This Row],[run 1 times]]=$AO$3,0,MAX(0,ROUND(((Table122110193440526476[[#This Row],[run 1 times]]-$AO$3)/$AO$3)*$AP$6,2))))</f>
        <v>265.69</v>
      </c>
      <c r="AJ24" s="2">
        <f>_xlfn.LET(_xlpm.x,Table122110193440526476[[#This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8.1342592592592599E-4</v>
      </c>
      <c r="AK24" s="3">
        <f>IF(Table122110193440526476[[#This Row],[run2 times]]="",999.99,IF(Table122110193440526476[[#This Row],[run2 times]]=$AP$3,0,MAX(0,ROUND(((Table122110193440526476[[#This Row],[run2 times]]-$AP$3)/$AP$3)*$AP$6,2))))</f>
        <v>259.58999999999997</v>
      </c>
      <c r="AL24" s="2">
        <f>IF(OR(Table122110193440526476[[#This Row],[run 1 times]]="",Table122110193440526476[[#This Row],[run2 times]]=""),"",Table122110193440526476[[#This Row],[run 1 times]]+Table122110193440526476[[#This Row],[run2 times]])</f>
        <v>1.5858796296296298E-3</v>
      </c>
      <c r="AM24" s="3">
        <f>IF(Table122110193440526476[[#This Row],[total time]]="",999.99,IF(Table122110193440526476[[#This Row],[total time]]=$AQ$3,0,MAX(0,ROUND(((Table122110193440526476[[#This Row],[total time]]-$AQ$3)/$AQ$3)*$AP$6,2))))</f>
        <v>261.38</v>
      </c>
    </row>
    <row r="25" spans="1:39" x14ac:dyDescent="0.3">
      <c r="A25">
        <v>14</v>
      </c>
      <c r="B25">
        <v>68</v>
      </c>
      <c r="C25" t="s">
        <v>257</v>
      </c>
      <c r="D25" t="s">
        <v>480</v>
      </c>
      <c r="E25" t="s">
        <v>878</v>
      </c>
      <c r="F25">
        <v>2014</v>
      </c>
      <c r="G25" s="1">
        <v>1.0200231481481482E-3</v>
      </c>
      <c r="H25" s="1">
        <v>9.3078703703703704E-4</v>
      </c>
      <c r="I25" s="1">
        <v>1.9508101851851854E-3</v>
      </c>
      <c r="K25">
        <v>120661</v>
      </c>
      <c r="L25" s="2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1.0200231481481482E-3</v>
      </c>
      <c r="M25" s="3">
        <f>IF(Table127163137496173[[#This Row],[run 1 times]]="",999.99,IF(Table127163137496173[[#This Row],[run 1 times]]=$S$3,0,MAX(0,ROUND(((Table127163137496173[[#This Row],[run 1 times]]-$S$3)/$S$3)*$T$6,2))))</f>
        <v>226.96</v>
      </c>
      <c r="N25" s="2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9.3078703703703704E-4</v>
      </c>
      <c r="O25" s="3">
        <f>IF(Table127163137496173[[#This Row],[run2 times]]="",999.99,IF(Table127163137496173[[#This Row],[run2 times]]=$T$3,0,MAX(0,ROUND(((Table127163137496173[[#This Row],[run2 times]]-$T$3)/$T$3)*$T$6,2))))</f>
        <v>144.08000000000001</v>
      </c>
      <c r="P25" s="2">
        <f>IF(OR(Table127163137496173[[#This Row],[run 1 times]]="",Table127163137496173[[#This Row],[run2 times]]=""),"",Table127163137496173[[#This Row],[run 1 times]]+Table127163137496173[[#This Row],[run2 times]])</f>
        <v>1.9508101851851852E-3</v>
      </c>
      <c r="Q25" s="3">
        <f>IF(Table127163137496173[[#This Row],[total time]]="",999.99,IF(Table127163137496173[[#This Row],[total time]]=$U$3,0,MAX(0,ROUND(((Table127163137496173[[#This Row],[total time]]-$U$3)/$U$3)*$T$6,2))))</f>
        <v>182.13</v>
      </c>
      <c r="W25">
        <v>23</v>
      </c>
      <c r="X25">
        <v>164</v>
      </c>
      <c r="Y25" t="s">
        <v>487</v>
      </c>
      <c r="Z25" t="s">
        <v>547</v>
      </c>
      <c r="AA25" t="s">
        <v>843</v>
      </c>
      <c r="AB25">
        <v>2010</v>
      </c>
      <c r="AC25" s="1">
        <v>53.71</v>
      </c>
      <c r="AD25" s="1">
        <v>57.74</v>
      </c>
      <c r="AE25" s="1">
        <v>1.2899305555555557E-3</v>
      </c>
      <c r="AG25">
        <v>102417</v>
      </c>
      <c r="AH25" s="2">
        <f>_xlfn.LET(_xlpm.x,Table122110193440526476[[#This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6.2164351851851855E-4</v>
      </c>
      <c r="AI25" s="3">
        <f>IF(Table122110193440526476[[#This Row],[run 1 times]]="",999.99,IF(Table122110193440526476[[#This Row],[run 1 times]]=$AO$3,0,MAX(0,ROUND(((Table122110193440526476[[#This Row],[run 1 times]]-$AO$3)/$AO$3)*$AP$6,2))))</f>
        <v>16.63</v>
      </c>
      <c r="AJ25" s="2">
        <f>_xlfn.LET(_xlpm.x,Table122110193440526476[[#This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6.6828703703703711E-4</v>
      </c>
      <c r="AK25" s="3">
        <f>IF(Table122110193440526476[[#This Row],[run2 times]]="",999.99,IF(Table122110193440526476[[#This Row],[run2 times]]=$AP$3,0,MAX(0,ROUND(((Table122110193440526476[[#This Row],[run2 times]]-$AP$3)/$AP$3)*$AP$6,2))))</f>
        <v>33.06</v>
      </c>
      <c r="AL25" s="2">
        <f>IF(OR(Table122110193440526476[[#This Row],[run 1 times]]="",Table122110193440526476[[#This Row],[run2 times]]=""),"",Table122110193440526476[[#This Row],[run 1 times]]+Table122110193440526476[[#This Row],[run2 times]])</f>
        <v>1.2899305555555557E-3</v>
      </c>
      <c r="AM25" s="3">
        <f>IF(Table122110193440526476[[#This Row],[total time]]="",999.99,IF(Table122110193440526476[[#This Row],[total time]]=$AQ$3,0,MAX(0,ROUND(((Table122110193440526476[[#This Row],[total time]]-$AQ$3)/$AQ$3)*$AP$6,2))))</f>
        <v>24.12</v>
      </c>
    </row>
    <row r="26" spans="1:39" x14ac:dyDescent="0.3">
      <c r="A26">
        <v>18</v>
      </c>
      <c r="B26">
        <v>72</v>
      </c>
      <c r="C26" t="s">
        <v>257</v>
      </c>
      <c r="D26" t="s">
        <v>480</v>
      </c>
      <c r="E26" t="s">
        <v>682</v>
      </c>
      <c r="F26">
        <v>2014</v>
      </c>
      <c r="G26" s="1">
        <v>1.1134259259259259E-3</v>
      </c>
      <c r="H26" s="1">
        <v>1.0645833333333334E-3</v>
      </c>
      <c r="I26" s="1">
        <v>2.1780092592592593E-3</v>
      </c>
      <c r="K26">
        <v>120809</v>
      </c>
      <c r="L26" s="2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1.1134259259259259E-3</v>
      </c>
      <c r="M26" s="3">
        <f>IF(Table127163137496173[[#This Row],[run 1 times]]="",999.99,IF(Table127163137496173[[#This Row],[run 1 times]]=$S$3,0,MAX(0,ROUND(((Table127163137496173[[#This Row],[run 1 times]]-$S$3)/$S$3)*$T$6,2))))</f>
        <v>340.22</v>
      </c>
      <c r="N26" s="2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1.0645833333333334E-3</v>
      </c>
      <c r="O26" s="3">
        <f>IF(Table127163137496173[[#This Row],[run2 times]]="",999.99,IF(Table127163137496173[[#This Row],[run2 times]]=$T$3,0,MAX(0,ROUND(((Table127163137496173[[#This Row],[run2 times]]-$T$3)/$T$3)*$T$6,2))))</f>
        <v>309.97000000000003</v>
      </c>
      <c r="P26" s="2">
        <f>IF(OR(Table127163137496173[[#This Row],[run 1 times]]="",Table127163137496173[[#This Row],[run2 times]]=""),"",Table127163137496173[[#This Row],[run 1 times]]+Table127163137496173[[#This Row],[run2 times]])</f>
        <v>2.1780092592592593E-3</v>
      </c>
      <c r="Q26" s="3">
        <f>IF(Table127163137496173[[#This Row],[total time]]="",999.99,IF(Table127163137496173[[#This Row],[total time]]=$U$3,0,MAX(0,ROUND(((Table127163137496173[[#This Row],[total time]]-$U$3)/$U$3)*$T$6,2))))</f>
        <v>320.95999999999998</v>
      </c>
      <c r="W26">
        <v>24</v>
      </c>
      <c r="X26">
        <v>165</v>
      </c>
      <c r="Y26" t="s">
        <v>24</v>
      </c>
      <c r="Z26" t="s">
        <v>572</v>
      </c>
      <c r="AA26" t="s">
        <v>761</v>
      </c>
      <c r="AB26">
        <v>2009</v>
      </c>
      <c r="AC26" s="1" t="s">
        <v>512</v>
      </c>
      <c r="AD26" s="1" t="s">
        <v>512</v>
      </c>
      <c r="AE26" s="1"/>
      <c r="AG26">
        <v>84474</v>
      </c>
      <c r="AH26" s="2" t="str">
        <f>_xlfn.LET(_xlpm.x,Table122110193440526476[[#This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26" s="3">
        <f>IF(Table122110193440526476[[#This Row],[run 1 times]]="",999.99,IF(Table122110193440526476[[#This Row],[run 1 times]]=$AO$3,0,MAX(0,ROUND(((Table122110193440526476[[#This Row],[run 1 times]]-$AO$3)/$AO$3)*$AP$6,2))))</f>
        <v>999.99</v>
      </c>
      <c r="AJ26" s="2" t="str">
        <f>_xlfn.LET(_xlpm.x,Table122110193440526476[[#This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26" s="3">
        <f>IF(Table122110193440526476[[#This Row],[run2 times]]="",999.99,IF(Table122110193440526476[[#This Row],[run2 times]]=$AP$3,0,MAX(0,ROUND(((Table122110193440526476[[#This Row],[run2 times]]-$AP$3)/$AP$3)*$AP$6,2))))</f>
        <v>999.99</v>
      </c>
      <c r="AL26" s="2" t="str">
        <f>IF(OR(Table122110193440526476[[#This Row],[run 1 times]]="",Table122110193440526476[[#This Row],[run2 times]]=""),"",Table122110193440526476[[#This Row],[run 1 times]]+Table122110193440526476[[#This Row],[run2 times]])</f>
        <v/>
      </c>
      <c r="AM26" s="3">
        <f>IF(Table122110193440526476[[#This Row],[total time]]="",999.99,IF(Table122110193440526476[[#This Row],[total time]]=$AQ$3,0,MAX(0,ROUND(((Table122110193440526476[[#This Row],[total time]]-$AQ$3)/$AQ$3)*$AP$6,2))))</f>
        <v>999.99</v>
      </c>
    </row>
    <row r="27" spans="1:39" x14ac:dyDescent="0.3">
      <c r="A27">
        <v>20</v>
      </c>
      <c r="B27">
        <v>75</v>
      </c>
      <c r="C27" t="s">
        <v>487</v>
      </c>
      <c r="D27" t="s">
        <v>522</v>
      </c>
      <c r="E27" t="s">
        <v>697</v>
      </c>
      <c r="F27">
        <v>2013</v>
      </c>
      <c r="G27" s="1" t="s">
        <v>512</v>
      </c>
      <c r="H27" s="1">
        <v>9.1840277777777775E-4</v>
      </c>
      <c r="I27" s="1"/>
      <c r="K27">
        <v>121019</v>
      </c>
      <c r="L27" s="2" t="str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27" s="3">
        <f>IF(Table127163137496173[[#This Row],[run 1 times]]="",999.99,IF(Table127163137496173[[#This Row],[run 1 times]]=$S$3,0,MAX(0,ROUND(((Table127163137496173[[#This Row],[run 1 times]]-$S$3)/$S$3)*$T$6,2))))</f>
        <v>999.99</v>
      </c>
      <c r="N27" s="2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9.1840277777777775E-4</v>
      </c>
      <c r="O27" s="3">
        <f>IF(Table127163137496173[[#This Row],[run2 times]]="",999.99,IF(Table127163137496173[[#This Row],[run2 times]]=$T$3,0,MAX(0,ROUND(((Table127163137496173[[#This Row],[run2 times]]-$T$3)/$T$3)*$T$6,2))))</f>
        <v>128.72999999999999</v>
      </c>
      <c r="P27" s="2" t="str">
        <f>IF(OR(Table127163137496173[[#This Row],[run 1 times]]="",Table127163137496173[[#This Row],[run2 times]]=""),"",Table127163137496173[[#This Row],[run 1 times]]+Table127163137496173[[#This Row],[run2 times]])</f>
        <v/>
      </c>
      <c r="Q27" s="3">
        <f>IF(Table127163137496173[[#This Row],[total time]]="",999.99,IF(Table127163137496173[[#This Row],[total time]]=$U$3,0,MAX(0,ROUND(((Table127163137496173[[#This Row],[total time]]-$U$3)/$U$3)*$T$6,2))))</f>
        <v>999.99</v>
      </c>
      <c r="W27">
        <v>25</v>
      </c>
      <c r="X27">
        <v>166</v>
      </c>
      <c r="Y27" t="s">
        <v>373</v>
      </c>
      <c r="Z27" t="s">
        <v>547</v>
      </c>
      <c r="AA27" t="s">
        <v>758</v>
      </c>
      <c r="AB27">
        <v>2011</v>
      </c>
      <c r="AC27" s="1">
        <v>7.1643518518518519E-4</v>
      </c>
      <c r="AD27" s="1">
        <v>7.1053240740740744E-4</v>
      </c>
      <c r="AE27" s="1">
        <v>1.4269675925925927E-3</v>
      </c>
      <c r="AG27">
        <v>94814</v>
      </c>
      <c r="AH27" s="2">
        <f>_xlfn.LET(_xlpm.x,Table122110193440526476[[#This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7.1643518518518519E-4</v>
      </c>
      <c r="AI27" s="3">
        <f>IF(Table122110193440526476[[#This Row],[run 1 times]]="",999.99,IF(Table122110193440526476[[#This Row],[run 1 times]]=$AO$3,0,MAX(0,ROUND(((Table122110193440526476[[#This Row],[run 1 times]]-$AO$3)/$AO$3)*$AP$6,2))))</f>
        <v>173.18</v>
      </c>
      <c r="AJ27" s="2">
        <f>_xlfn.LET(_xlpm.x,Table122110193440526476[[#This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7.1053240740740744E-4</v>
      </c>
      <c r="AK27" s="3">
        <f>IF(Table122110193440526476[[#This Row],[run2 times]]="",999.99,IF(Table122110193440526476[[#This Row],[run2 times]]=$AP$3,0,MAX(0,ROUND(((Table122110193440526476[[#This Row],[run2 times]]-$AP$3)/$AP$3)*$AP$6,2))))</f>
        <v>98.99</v>
      </c>
      <c r="AL27" s="2">
        <f>IF(OR(Table122110193440526476[[#This Row],[run 1 times]]="",Table122110193440526476[[#This Row],[run2 times]]=""),"",Table122110193440526476[[#This Row],[run 1 times]]+Table122110193440526476[[#This Row],[run2 times]])</f>
        <v>1.4269675925925925E-3</v>
      </c>
      <c r="AM27" s="3">
        <f>IF(Table122110193440526476[[#This Row],[total time]]="",999.99,IF(Table122110193440526476[[#This Row],[total time]]=$AQ$3,0,MAX(0,ROUND(((Table122110193440526476[[#This Row],[total time]]-$AQ$3)/$AQ$3)*$AP$6,2))))</f>
        <v>133.99</v>
      </c>
    </row>
    <row r="28" spans="1:39" x14ac:dyDescent="0.3">
      <c r="A28">
        <v>24</v>
      </c>
      <c r="B28">
        <v>79</v>
      </c>
      <c r="C28" t="s">
        <v>487</v>
      </c>
      <c r="D28" t="s">
        <v>480</v>
      </c>
      <c r="E28" t="s">
        <v>881</v>
      </c>
      <c r="F28">
        <v>2014</v>
      </c>
      <c r="G28" s="1" t="s">
        <v>512</v>
      </c>
      <c r="H28" s="1">
        <v>1.1699074074074075E-3</v>
      </c>
      <c r="I28" s="1"/>
      <c r="K28">
        <v>121024</v>
      </c>
      <c r="L28" s="2" t="str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28" s="3">
        <f>IF(Table127163137496173[[#This Row],[run 1 times]]="",999.99,IF(Table127163137496173[[#This Row],[run 1 times]]=$S$3,0,MAX(0,ROUND(((Table127163137496173[[#This Row],[run 1 times]]-$S$3)/$S$3)*$T$6,2))))</f>
        <v>999.99</v>
      </c>
      <c r="N28" s="2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1.1699074074074075E-3</v>
      </c>
      <c r="O28" s="3">
        <f>IF(Table127163137496173[[#This Row],[run2 times]]="",999.99,IF(Table127163137496173[[#This Row],[run2 times]]=$T$3,0,MAX(0,ROUND(((Table127163137496173[[#This Row],[run2 times]]-$T$3)/$T$3)*$T$6,2))))</f>
        <v>440.57</v>
      </c>
      <c r="P28" s="2" t="str">
        <f>IF(OR(Table127163137496173[[#This Row],[run 1 times]]="",Table127163137496173[[#This Row],[run2 times]]=""),"",Table127163137496173[[#This Row],[run 1 times]]+Table127163137496173[[#This Row],[run2 times]])</f>
        <v/>
      </c>
      <c r="Q28" s="3">
        <f>IF(Table127163137496173[[#This Row],[total time]]="",999.99,IF(Table127163137496173[[#This Row],[total time]]=$U$3,0,MAX(0,ROUND(((Table127163137496173[[#This Row],[total time]]-$U$3)/$U$3)*$T$6,2))))</f>
        <v>999.99</v>
      </c>
      <c r="W28">
        <v>26</v>
      </c>
      <c r="X28">
        <v>167</v>
      </c>
      <c r="Y28" t="s">
        <v>487</v>
      </c>
      <c r="Z28" t="s">
        <v>547</v>
      </c>
      <c r="AA28" t="s">
        <v>764</v>
      </c>
      <c r="AB28">
        <v>2010</v>
      </c>
      <c r="AC28" s="1">
        <v>55.57</v>
      </c>
      <c r="AD28" s="1" t="s">
        <v>512</v>
      </c>
      <c r="AE28" s="1"/>
      <c r="AG28">
        <v>89445</v>
      </c>
      <c r="AH28" s="2">
        <f>_xlfn.LET(_xlpm.x,Table122110193440526476[[#This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6.4317129629629631E-4</v>
      </c>
      <c r="AI28" s="3">
        <f>IF(Table122110193440526476[[#This Row],[run 1 times]]="",999.99,IF(Table122110193440526476[[#This Row],[run 1 times]]=$AO$3,0,MAX(0,ROUND(((Table122110193440526476[[#This Row],[run 1 times]]-$AO$3)/$AO$3)*$AP$6,2))))</f>
        <v>52.18</v>
      </c>
      <c r="AJ28" s="2" t="str">
        <f>_xlfn.LET(_xlpm.x,Table122110193440526476[[#This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28" s="3">
        <f>IF(Table122110193440526476[[#This Row],[run2 times]]="",999.99,IF(Table122110193440526476[[#This Row],[run2 times]]=$AP$3,0,MAX(0,ROUND(((Table122110193440526476[[#This Row],[run2 times]]-$AP$3)/$AP$3)*$AP$6,2))))</f>
        <v>999.99</v>
      </c>
      <c r="AL28" s="2" t="str">
        <f>IF(OR(Table122110193440526476[[#This Row],[run 1 times]]="",Table122110193440526476[[#This Row],[run2 times]]=""),"",Table122110193440526476[[#This Row],[run 1 times]]+Table122110193440526476[[#This Row],[run2 times]])</f>
        <v/>
      </c>
      <c r="AM28" s="3">
        <f>IF(Table122110193440526476[[#This Row],[total time]]="",999.99,IF(Table122110193440526476[[#This Row],[total time]]=$AQ$3,0,MAX(0,ROUND(((Table122110193440526476[[#This Row],[total time]]-$AQ$3)/$AQ$3)*$AP$6,2))))</f>
        <v>999.99</v>
      </c>
    </row>
    <row r="29" spans="1:39" x14ac:dyDescent="0.3">
      <c r="A29">
        <v>25</v>
      </c>
      <c r="B29">
        <v>80</v>
      </c>
      <c r="C29" t="s">
        <v>479</v>
      </c>
      <c r="D29" t="s">
        <v>522</v>
      </c>
      <c r="E29" t="s">
        <v>678</v>
      </c>
      <c r="F29">
        <v>2012</v>
      </c>
      <c r="G29" s="1">
        <v>9.6134259259259263E-4</v>
      </c>
      <c r="H29" s="1">
        <v>9.0798611111111115E-4</v>
      </c>
      <c r="I29" s="1">
        <v>1.8693287037037036E-3</v>
      </c>
      <c r="K29">
        <v>108194</v>
      </c>
      <c r="L29" s="2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9.6134259259259263E-4</v>
      </c>
      <c r="M29" s="3">
        <f>IF(Table127163137496173[[#This Row],[run 1 times]]="",999.99,IF(Table127163137496173[[#This Row],[run 1 times]]=$S$3,0,MAX(0,ROUND(((Table127163137496173[[#This Row],[run 1 times]]-$S$3)/$S$3)*$T$6,2))))</f>
        <v>155.79</v>
      </c>
      <c r="N29" s="2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9.0798611111111115E-4</v>
      </c>
      <c r="O29" s="3">
        <f>IF(Table127163137496173[[#This Row],[run2 times]]="",999.99,IF(Table127163137496173[[#This Row],[run2 times]]=$T$3,0,MAX(0,ROUND(((Table127163137496173[[#This Row],[run2 times]]-$T$3)/$T$3)*$T$6,2))))</f>
        <v>115.81</v>
      </c>
      <c r="P29" s="2">
        <f>IF(OR(Table127163137496173[[#This Row],[run 1 times]]="",Table127163137496173[[#This Row],[run2 times]]=""),"",Table127163137496173[[#This Row],[run 1 times]]+Table127163137496173[[#This Row],[run2 times]])</f>
        <v>1.8693287037037038E-3</v>
      </c>
      <c r="Q29" s="3">
        <f>IF(Table127163137496173[[#This Row],[total time]]="",999.99,IF(Table127163137496173[[#This Row],[total time]]=$U$3,0,MAX(0,ROUND(((Table127163137496173[[#This Row],[total time]]-$U$3)/$U$3)*$T$6,2))))</f>
        <v>132.33000000000001</v>
      </c>
      <c r="W29">
        <v>27</v>
      </c>
      <c r="X29">
        <v>168</v>
      </c>
      <c r="Y29" t="s">
        <v>487</v>
      </c>
      <c r="Z29" t="s">
        <v>572</v>
      </c>
      <c r="AA29" t="s">
        <v>844</v>
      </c>
      <c r="AB29">
        <v>2008</v>
      </c>
      <c r="AC29" s="1">
        <v>53.41</v>
      </c>
      <c r="AD29" s="1">
        <v>57.18</v>
      </c>
      <c r="AE29" s="1">
        <v>1.2799768518518518E-3</v>
      </c>
      <c r="AG29">
        <v>82356</v>
      </c>
      <c r="AH29" s="2">
        <f>_xlfn.LET(_xlpm.x,Table122110193440526476[[#This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6.1817129629629624E-4</v>
      </c>
      <c r="AI29" s="3">
        <f>IF(Table122110193440526476[[#This Row],[run 1 times]]="",999.99,IF(Table122110193440526476[[#This Row],[run 1 times]]=$AO$3,0,MAX(0,ROUND(((Table122110193440526476[[#This Row],[run 1 times]]-$AO$3)/$AO$3)*$AP$6,2))))</f>
        <v>10.9</v>
      </c>
      <c r="AJ29" s="2">
        <f>_xlfn.LET(_xlpm.x,Table122110193440526476[[#This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6.6180555555555556E-4</v>
      </c>
      <c r="AK29" s="3">
        <f>IF(Table122110193440526476[[#This Row],[run2 times]]="",999.99,IF(Table122110193440526476[[#This Row],[run2 times]]=$AP$3,0,MAX(0,ROUND(((Table122110193440526476[[#This Row],[run2 times]]-$AP$3)/$AP$3)*$AP$6,2))))</f>
        <v>22.94</v>
      </c>
      <c r="AL29" s="2">
        <f>IF(OR(Table122110193440526476[[#This Row],[run 1 times]]="",Table122110193440526476[[#This Row],[run2 times]]=""),"",Table122110193440526476[[#This Row],[run 1 times]]+Table122110193440526476[[#This Row],[run2 times]])</f>
        <v>1.2799768518518518E-3</v>
      </c>
      <c r="AM29" s="3">
        <f>IF(Table122110193440526476[[#This Row],[total time]]="",999.99,IF(Table122110193440526476[[#This Row],[total time]]=$AQ$3,0,MAX(0,ROUND(((Table122110193440526476[[#This Row],[total time]]-$AQ$3)/$AQ$3)*$AP$6,2))))</f>
        <v>16.149999999999999</v>
      </c>
    </row>
    <row r="30" spans="1:39" x14ac:dyDescent="0.3">
      <c r="A30">
        <v>26</v>
      </c>
      <c r="B30">
        <v>81</v>
      </c>
      <c r="C30" t="s">
        <v>882</v>
      </c>
      <c r="D30" t="s">
        <v>522</v>
      </c>
      <c r="E30" t="s">
        <v>883</v>
      </c>
      <c r="F30">
        <v>2012</v>
      </c>
      <c r="G30" s="1">
        <v>8.3287037037037043E-4</v>
      </c>
      <c r="H30" s="1" t="s">
        <v>512</v>
      </c>
      <c r="I30" s="1"/>
      <c r="K30">
        <v>113772</v>
      </c>
      <c r="L30" s="2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8.3287037037037043E-4</v>
      </c>
      <c r="M30" s="3">
        <f>IF(Table127163137496173[[#This Row],[run 1 times]]="",999.99,IF(Table127163137496173[[#This Row],[run 1 times]]=$S$3,0,MAX(0,ROUND(((Table127163137496173[[#This Row],[run 1 times]]-$S$3)/$S$3)*$T$6,2))))</f>
        <v>0</v>
      </c>
      <c r="N30" s="2" t="str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30" s="3">
        <f>IF(Table127163137496173[[#This Row],[run2 times]]="",999.99,IF(Table127163137496173[[#This Row],[run2 times]]=$T$3,0,MAX(0,ROUND(((Table127163137496173[[#This Row],[run2 times]]-$T$3)/$T$3)*$T$6,2))))</f>
        <v>999.99</v>
      </c>
      <c r="P30" s="2" t="str">
        <f>IF(OR(Table127163137496173[[#This Row],[run 1 times]]="",Table127163137496173[[#This Row],[run2 times]]=""),"",Table127163137496173[[#This Row],[run 1 times]]+Table127163137496173[[#This Row],[run2 times]])</f>
        <v/>
      </c>
      <c r="Q30" s="3">
        <f>IF(Table127163137496173[[#This Row],[total time]]="",999.99,IF(Table127163137496173[[#This Row],[total time]]=$U$3,0,MAX(0,ROUND(((Table127163137496173[[#This Row],[total time]]-$U$3)/$U$3)*$T$6,2))))</f>
        <v>999.99</v>
      </c>
      <c r="W30">
        <v>28</v>
      </c>
      <c r="X30">
        <v>169</v>
      </c>
      <c r="Y30" t="s">
        <v>257</v>
      </c>
      <c r="Z30" t="s">
        <v>547</v>
      </c>
      <c r="AA30" t="s">
        <v>741</v>
      </c>
      <c r="AB30">
        <v>2010</v>
      </c>
      <c r="AC30" s="1">
        <v>7.2986111111111114E-4</v>
      </c>
      <c r="AD30" s="1">
        <v>7.5706018518518516E-4</v>
      </c>
      <c r="AE30" s="1">
        <v>1.4869212962962963E-3</v>
      </c>
      <c r="AG30">
        <v>102719</v>
      </c>
      <c r="AH30" s="2">
        <f>_xlfn.LET(_xlpm.x,Table122110193440526476[[#This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7.2986111111111114E-4</v>
      </c>
      <c r="AI30" s="3">
        <f>IF(Table122110193440526476[[#This Row],[run 1 times]]="",999.99,IF(Table122110193440526476[[#This Row],[run 1 times]]=$AO$3,0,MAX(0,ROUND(((Table122110193440526476[[#This Row],[run 1 times]]-$AO$3)/$AO$3)*$AP$6,2))))</f>
        <v>195.35</v>
      </c>
      <c r="AJ30" s="2">
        <f>_xlfn.LET(_xlpm.x,Table122110193440526476[[#This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7.5706018518518516E-4</v>
      </c>
      <c r="AK30" s="3">
        <f>IF(Table122110193440526476[[#This Row],[run2 times]]="",999.99,IF(Table122110193440526476[[#This Row],[run2 times]]=$AP$3,0,MAX(0,ROUND(((Table122110193440526476[[#This Row],[run2 times]]-$AP$3)/$AP$3)*$AP$6,2))))</f>
        <v>171.62</v>
      </c>
      <c r="AL30" s="2">
        <f>IF(OR(Table122110193440526476[[#This Row],[run 1 times]]="",Table122110193440526476[[#This Row],[run2 times]]=""),"",Table122110193440526476[[#This Row],[run 1 times]]+Table122110193440526476[[#This Row],[run2 times]])</f>
        <v>1.4869212962962963E-3</v>
      </c>
      <c r="AM30" s="3">
        <f>IF(Table122110193440526476[[#This Row],[total time]]="",999.99,IF(Table122110193440526476[[#This Row],[total time]]=$AQ$3,0,MAX(0,ROUND(((Table122110193440526476[[#This Row],[total time]]-$AQ$3)/$AQ$3)*$AP$6,2))))</f>
        <v>182.05</v>
      </c>
    </row>
    <row r="31" spans="1:39" x14ac:dyDescent="0.3">
      <c r="A31">
        <v>29</v>
      </c>
      <c r="B31">
        <v>84</v>
      </c>
      <c r="C31" t="s">
        <v>223</v>
      </c>
      <c r="D31" t="s">
        <v>480</v>
      </c>
      <c r="E31" t="s">
        <v>707</v>
      </c>
      <c r="F31">
        <v>2014</v>
      </c>
      <c r="G31" s="1">
        <v>8.9756944444444443E-4</v>
      </c>
      <c r="H31" s="1">
        <v>8.6967592592592598E-4</v>
      </c>
      <c r="I31" s="1">
        <v>1.7672453703703704E-3</v>
      </c>
      <c r="K31">
        <v>115872</v>
      </c>
      <c r="L31" s="2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8.9756944444444443E-4</v>
      </c>
      <c r="M31" s="3">
        <f>IF(Table127163137496173[[#This Row],[run 1 times]]="",999.99,IF(Table127163137496173[[#This Row],[run 1 times]]=$S$3,0,MAX(0,ROUND(((Table127163137496173[[#This Row],[run 1 times]]-$S$3)/$S$3)*$T$6,2))))</f>
        <v>78.459999999999994</v>
      </c>
      <c r="N31" s="2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8.6967592592592598E-4</v>
      </c>
      <c r="O31" s="3">
        <f>IF(Table127163137496173[[#This Row],[run2 times]]="",999.99,IF(Table127163137496173[[#This Row],[run2 times]]=$T$3,0,MAX(0,ROUND(((Table127163137496173[[#This Row],[run2 times]]-$T$3)/$T$3)*$T$6,2))))</f>
        <v>68.31</v>
      </c>
      <c r="P31" s="2">
        <f>IF(OR(Table127163137496173[[#This Row],[run 1 times]]="",Table127163137496173[[#This Row],[run2 times]]=""),"",Table127163137496173[[#This Row],[run 1 times]]+Table127163137496173[[#This Row],[run2 times]])</f>
        <v>1.7672453703703704E-3</v>
      </c>
      <c r="Q31" s="3">
        <f>IF(Table127163137496173[[#This Row],[total time]]="",999.99,IF(Table127163137496173[[#This Row],[total time]]=$U$3,0,MAX(0,ROUND(((Table127163137496173[[#This Row],[total time]]-$U$3)/$U$3)*$T$6,2))))</f>
        <v>69.95</v>
      </c>
      <c r="W31">
        <v>29</v>
      </c>
      <c r="X31">
        <v>170</v>
      </c>
      <c r="Y31" t="s">
        <v>479</v>
      </c>
      <c r="Z31" t="s">
        <v>572</v>
      </c>
      <c r="AA31" t="s">
        <v>752</v>
      </c>
      <c r="AB31">
        <v>2009</v>
      </c>
      <c r="AC31" s="1">
        <v>56.44</v>
      </c>
      <c r="AD31" s="1">
        <v>59.72</v>
      </c>
      <c r="AE31" s="1">
        <v>1.3444444444444443E-3</v>
      </c>
      <c r="AG31">
        <v>110039</v>
      </c>
      <c r="AH31" s="2">
        <f>_xlfn.LET(_xlpm.x,Table122110193440526476[[#This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6.5324074074074069E-4</v>
      </c>
      <c r="AI31" s="3">
        <f>IF(Table122110193440526476[[#This Row],[run 1 times]]="",999.99,IF(Table122110193440526476[[#This Row],[run 1 times]]=$AO$3,0,MAX(0,ROUND(((Table122110193440526476[[#This Row],[run 1 times]]-$AO$3)/$AO$3)*$AP$6,2))))</f>
        <v>68.81</v>
      </c>
      <c r="AJ31" s="2">
        <f>_xlfn.LET(_xlpm.x,Table122110193440526476[[#This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6.9120370370370364E-4</v>
      </c>
      <c r="AK31" s="3">
        <f>IF(Table122110193440526476[[#This Row],[run2 times]]="",999.99,IF(Table122110193440526476[[#This Row],[run2 times]]=$AP$3,0,MAX(0,ROUND(((Table122110193440526476[[#This Row],[run2 times]]-$AP$3)/$AP$3)*$AP$6,2))))</f>
        <v>68.83</v>
      </c>
      <c r="AL31" s="2">
        <f>IF(OR(Table122110193440526476[[#This Row],[run 1 times]]="",Table122110193440526476[[#This Row],[run2 times]]=""),"",Table122110193440526476[[#This Row],[run 1 times]]+Table122110193440526476[[#This Row],[run2 times]])</f>
        <v>1.3444444444444443E-3</v>
      </c>
      <c r="AM31" s="3">
        <f>IF(Table122110193440526476[[#This Row],[total time]]="",999.99,IF(Table122110193440526476[[#This Row],[total time]]=$AQ$3,0,MAX(0,ROUND(((Table122110193440526476[[#This Row],[total time]]-$AQ$3)/$AQ$3)*$AP$6,2))))</f>
        <v>67.83</v>
      </c>
    </row>
    <row r="32" spans="1:39" x14ac:dyDescent="0.3">
      <c r="A32">
        <v>31</v>
      </c>
      <c r="B32">
        <v>86</v>
      </c>
      <c r="C32" t="s">
        <v>257</v>
      </c>
      <c r="D32" t="s">
        <v>522</v>
      </c>
      <c r="E32" t="s">
        <v>698</v>
      </c>
      <c r="F32">
        <v>2012</v>
      </c>
      <c r="G32" s="1">
        <v>9.1400462962962963E-4</v>
      </c>
      <c r="H32" s="1">
        <v>8.7268518518518522E-4</v>
      </c>
      <c r="I32" s="1">
        <v>1.786689814814815E-3</v>
      </c>
      <c r="K32">
        <v>102726</v>
      </c>
      <c r="L32" s="2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9.1400462962962963E-4</v>
      </c>
      <c r="M32" s="3">
        <f>IF(Table127163137496173[[#This Row],[run 1 times]]="",999.99,IF(Table127163137496173[[#This Row],[run 1 times]]=$S$3,0,MAX(0,ROUND(((Table127163137496173[[#This Row],[run 1 times]]-$S$3)/$S$3)*$T$6,2))))</f>
        <v>98.39</v>
      </c>
      <c r="N32" s="2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8.7268518518518522E-4</v>
      </c>
      <c r="O32" s="3">
        <f>IF(Table127163137496173[[#This Row],[run2 times]]="",999.99,IF(Table127163137496173[[#This Row],[run2 times]]=$T$3,0,MAX(0,ROUND(((Table127163137496173[[#This Row],[run2 times]]-$T$3)/$T$3)*$T$6,2))))</f>
        <v>72.040000000000006</v>
      </c>
      <c r="P32" s="2">
        <f>IF(OR(Table127163137496173[[#This Row],[run 1 times]]="",Table127163137496173[[#This Row],[run2 times]]=""),"",Table127163137496173[[#This Row],[run 1 times]]+Table127163137496173[[#This Row],[run2 times]])</f>
        <v>1.7866898148148147E-3</v>
      </c>
      <c r="Q32" s="3">
        <f>IF(Table127163137496173[[#This Row],[total time]]="",999.99,IF(Table127163137496173[[#This Row],[total time]]=$U$3,0,MAX(0,ROUND(((Table127163137496173[[#This Row],[total time]]-$U$3)/$U$3)*$T$6,2))))</f>
        <v>81.83</v>
      </c>
      <c r="W32">
        <v>30</v>
      </c>
      <c r="X32">
        <v>171</v>
      </c>
      <c r="Y32" t="s">
        <v>257</v>
      </c>
      <c r="Z32" t="s">
        <v>547</v>
      </c>
      <c r="AA32" t="s">
        <v>767</v>
      </c>
      <c r="AB32">
        <v>2010</v>
      </c>
      <c r="AC32" s="1" t="s">
        <v>512</v>
      </c>
      <c r="AD32" s="1" t="s">
        <v>512</v>
      </c>
      <c r="AE32" s="1"/>
      <c r="AG32">
        <v>106380</v>
      </c>
      <c r="AH32" s="2" t="str">
        <f>_xlfn.LET(_xlpm.x,Table122110193440526476[[#This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32" s="3">
        <f>IF(Table122110193440526476[[#This Row],[run 1 times]]="",999.99,IF(Table122110193440526476[[#This Row],[run 1 times]]=$AO$3,0,MAX(0,ROUND(((Table122110193440526476[[#This Row],[run 1 times]]-$AO$3)/$AO$3)*$AP$6,2))))</f>
        <v>999.99</v>
      </c>
      <c r="AJ32" s="2" t="str">
        <f>_xlfn.LET(_xlpm.x,Table122110193440526476[[#This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32" s="3">
        <f>IF(Table122110193440526476[[#This Row],[run2 times]]="",999.99,IF(Table122110193440526476[[#This Row],[run2 times]]=$AP$3,0,MAX(0,ROUND(((Table122110193440526476[[#This Row],[run2 times]]-$AP$3)/$AP$3)*$AP$6,2))))</f>
        <v>999.99</v>
      </c>
      <c r="AL32" s="2" t="str">
        <f>IF(OR(Table122110193440526476[[#This Row],[run 1 times]]="",Table122110193440526476[[#This Row],[run2 times]]=""),"",Table122110193440526476[[#This Row],[run 1 times]]+Table122110193440526476[[#This Row],[run2 times]])</f>
        <v/>
      </c>
      <c r="AM32" s="3">
        <f>IF(Table122110193440526476[[#This Row],[total time]]="",999.99,IF(Table122110193440526476[[#This Row],[total time]]=$AQ$3,0,MAX(0,ROUND(((Table122110193440526476[[#This Row],[total time]]-$AQ$3)/$AQ$3)*$AP$6,2))))</f>
        <v>999.99</v>
      </c>
    </row>
    <row r="33" spans="1:39" x14ac:dyDescent="0.3">
      <c r="A33">
        <v>32</v>
      </c>
      <c r="B33">
        <v>87</v>
      </c>
      <c r="C33" t="s">
        <v>257</v>
      </c>
      <c r="D33" t="s">
        <v>522</v>
      </c>
      <c r="E33" t="s">
        <v>675</v>
      </c>
      <c r="F33">
        <v>2013</v>
      </c>
      <c r="G33" s="1">
        <v>9.8009259259259273E-4</v>
      </c>
      <c r="H33" s="1">
        <v>9.2766203703703706E-4</v>
      </c>
      <c r="I33" s="1">
        <v>1.9077546296296295E-3</v>
      </c>
      <c r="K33">
        <v>117684</v>
      </c>
      <c r="L33" s="2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9.8009259259259273E-4</v>
      </c>
      <c r="M33" s="3">
        <f>IF(Table127163137496173[[#This Row],[run 1 times]]="",999.99,IF(Table127163137496173[[#This Row],[run 1 times]]=$S$3,0,MAX(0,ROUND(((Table127163137496173[[#This Row],[run 1 times]]-$S$3)/$S$3)*$T$6,2))))</f>
        <v>178.53</v>
      </c>
      <c r="N33" s="2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9.2766203703703706E-4</v>
      </c>
      <c r="O33" s="3">
        <f>IF(Table127163137496173[[#This Row],[run2 times]]="",999.99,IF(Table127163137496173[[#This Row],[run2 times]]=$T$3,0,MAX(0,ROUND(((Table127163137496173[[#This Row],[run2 times]]-$T$3)/$T$3)*$T$6,2))))</f>
        <v>140.21</v>
      </c>
      <c r="P33" s="2">
        <f>IF(OR(Table127163137496173[[#This Row],[run 1 times]]="",Table127163137496173[[#This Row],[run2 times]]=""),"",Table127163137496173[[#This Row],[run 1 times]]+Table127163137496173[[#This Row],[run2 times]])</f>
        <v>1.9077546296296299E-3</v>
      </c>
      <c r="Q33" s="3">
        <f>IF(Table127163137496173[[#This Row],[total time]]="",999.99,IF(Table127163137496173[[#This Row],[total time]]=$U$3,0,MAX(0,ROUND(((Table127163137496173[[#This Row],[total time]]-$U$3)/$U$3)*$T$6,2))))</f>
        <v>155.81</v>
      </c>
      <c r="W33">
        <v>31</v>
      </c>
      <c r="X33">
        <v>172</v>
      </c>
      <c r="Y33" t="s">
        <v>479</v>
      </c>
      <c r="Z33" t="s">
        <v>572</v>
      </c>
      <c r="AA33" t="s">
        <v>765</v>
      </c>
      <c r="AB33">
        <v>2009</v>
      </c>
      <c r="AC33" s="1">
        <v>52.84</v>
      </c>
      <c r="AD33" s="1">
        <v>56.01</v>
      </c>
      <c r="AE33" s="1">
        <v>1.2598379629629628E-3</v>
      </c>
      <c r="AG33">
        <v>87824</v>
      </c>
      <c r="AH33" s="2">
        <f>_xlfn.LET(_xlpm.x,Table122110193440526476[[#This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6.1157407407407406E-4</v>
      </c>
      <c r="AI33" s="3">
        <f>IF(Table122110193440526476[[#This Row],[run 1 times]]="",999.99,IF(Table122110193440526476[[#This Row],[run 1 times]]=$AO$3,0,MAX(0,ROUND(((Table122110193440526476[[#This Row],[run 1 times]]-$AO$3)/$AO$3)*$AP$6,2))))</f>
        <v>0</v>
      </c>
      <c r="AJ33" s="2">
        <f>_xlfn.LET(_xlpm.x,Table122110193440526476[[#This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6.4826388888888887E-4</v>
      </c>
      <c r="AK33" s="3">
        <f>IF(Table122110193440526476[[#This Row],[run2 times]]="",999.99,IF(Table122110193440526476[[#This Row],[run2 times]]=$AP$3,0,MAX(0,ROUND(((Table122110193440526476[[#This Row],[run2 times]]-$AP$3)/$AP$3)*$AP$6,2))))</f>
        <v>1.81</v>
      </c>
      <c r="AL33" s="2">
        <f>IF(OR(Table122110193440526476[[#This Row],[run 1 times]]="",Table122110193440526476[[#This Row],[run2 times]]=""),"",Table122110193440526476[[#This Row],[run 1 times]]+Table122110193440526476[[#This Row],[run2 times]])</f>
        <v>1.259837962962963E-3</v>
      </c>
      <c r="AM33" s="3">
        <f>IF(Table122110193440526476[[#This Row],[total time]]="",999.99,IF(Table122110193440526476[[#This Row],[total time]]=$AQ$3,0,MAX(0,ROUND(((Table122110193440526476[[#This Row],[total time]]-$AQ$3)/$AQ$3)*$AP$6,2))))</f>
        <v>0</v>
      </c>
    </row>
    <row r="34" spans="1:39" x14ac:dyDescent="0.3">
      <c r="A34">
        <v>34</v>
      </c>
      <c r="B34">
        <v>89</v>
      </c>
      <c r="C34" t="s">
        <v>479</v>
      </c>
      <c r="D34" t="s">
        <v>522</v>
      </c>
      <c r="E34" t="s">
        <v>668</v>
      </c>
      <c r="F34">
        <v>2013</v>
      </c>
      <c r="G34" s="1">
        <v>8.8530092592592588E-4</v>
      </c>
      <c r="H34" s="1">
        <v>8.1666666666666671E-4</v>
      </c>
      <c r="I34" s="1">
        <v>1.7019675925925928E-3</v>
      </c>
      <c r="K34">
        <v>101440</v>
      </c>
      <c r="L34" s="2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8.8530092592592588E-4</v>
      </c>
      <c r="M34" s="3">
        <f>IF(Table127163137496173[[#This Row],[run 1 times]]="",999.99,IF(Table127163137496173[[#This Row],[run 1 times]]=$S$3,0,MAX(0,ROUND(((Table127163137496173[[#This Row],[run 1 times]]-$S$3)/$S$3)*$T$6,2))))</f>
        <v>63.58</v>
      </c>
      <c r="N34" s="2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8.1666666666666671E-4</v>
      </c>
      <c r="O34" s="3">
        <f>IF(Table127163137496173[[#This Row],[run2 times]]="",999.99,IF(Table127163137496173[[#This Row],[run2 times]]=$T$3,0,MAX(0,ROUND(((Table127163137496173[[#This Row],[run2 times]]-$T$3)/$T$3)*$T$6,2))))</f>
        <v>2.58</v>
      </c>
      <c r="P34" s="2">
        <f>IF(OR(Table127163137496173[[#This Row],[run 1 times]]="",Table127163137496173[[#This Row],[run2 times]]=""),"",Table127163137496173[[#This Row],[run 1 times]]+Table127163137496173[[#This Row],[run2 times]])</f>
        <v>1.7019675925925926E-3</v>
      </c>
      <c r="Q34" s="3">
        <f>IF(Table127163137496173[[#This Row],[total time]]="",999.99,IF(Table127163137496173[[#This Row],[total time]]=$U$3,0,MAX(0,ROUND(((Table127163137496173[[#This Row],[total time]]-$U$3)/$U$3)*$T$6,2))))</f>
        <v>30.06</v>
      </c>
      <c r="W34">
        <v>34</v>
      </c>
      <c r="X34">
        <v>175</v>
      </c>
      <c r="Y34" t="s">
        <v>257</v>
      </c>
      <c r="Z34" t="s">
        <v>572</v>
      </c>
      <c r="AA34" t="s">
        <v>846</v>
      </c>
      <c r="AB34">
        <v>2009</v>
      </c>
      <c r="AC34" s="1">
        <v>57.78</v>
      </c>
      <c r="AD34" s="1">
        <v>7.0682870370370366E-4</v>
      </c>
      <c r="AE34" s="1">
        <v>1.3755787037037037E-3</v>
      </c>
      <c r="AG34">
        <v>108195</v>
      </c>
      <c r="AH34" s="2">
        <f>_xlfn.LET(_xlpm.x,Table122110193440526476[[#This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6.6874999999999997E-4</v>
      </c>
      <c r="AI34" s="3">
        <f>IF(Table122110193440526476[[#This Row],[run 1 times]]="",999.99,IF(Table122110193440526476[[#This Row],[run 1 times]]=$AO$3,0,MAX(0,ROUND(((Table122110193440526476[[#This Row],[run 1 times]]-$AO$3)/$AO$3)*$AP$6,2))))</f>
        <v>94.42</v>
      </c>
      <c r="AJ34" s="2">
        <f>_xlfn.LET(_xlpm.x,Table122110193440526476[[#This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7.0682870370370366E-4</v>
      </c>
      <c r="AK34" s="3">
        <f>IF(Table122110193440526476[[#This Row],[run2 times]]="",999.99,IF(Table122110193440526476[[#This Row],[run2 times]]=$AP$3,0,MAX(0,ROUND(((Table122110193440526476[[#This Row],[run2 times]]-$AP$3)/$AP$3)*$AP$6,2))))</f>
        <v>93.21</v>
      </c>
      <c r="AL34" s="2">
        <f>IF(OR(Table122110193440526476[[#This Row],[run 1 times]]="",Table122110193440526476[[#This Row],[run2 times]]=""),"",Table122110193440526476[[#This Row],[run 1 times]]+Table122110193440526476[[#This Row],[run2 times]])</f>
        <v>1.3755787037037035E-3</v>
      </c>
      <c r="AM34" s="3">
        <f>IF(Table122110193440526476[[#This Row],[total time]]="",999.99,IF(Table122110193440526476[[#This Row],[total time]]=$AQ$3,0,MAX(0,ROUND(((Table122110193440526476[[#This Row],[total time]]-$AQ$3)/$AQ$3)*$AP$6,2))))</f>
        <v>92.79</v>
      </c>
    </row>
    <row r="35" spans="1:39" x14ac:dyDescent="0.3">
      <c r="A35">
        <v>36</v>
      </c>
      <c r="B35">
        <v>91</v>
      </c>
      <c r="C35" t="s">
        <v>487</v>
      </c>
      <c r="D35" t="s">
        <v>522</v>
      </c>
      <c r="E35" t="s">
        <v>705</v>
      </c>
      <c r="F35">
        <v>2012</v>
      </c>
      <c r="G35" s="1">
        <v>9.61574074074074E-4</v>
      </c>
      <c r="H35" s="1">
        <v>8.5520833333333336E-4</v>
      </c>
      <c r="I35" s="1">
        <v>1.8167824074074074E-3</v>
      </c>
      <c r="K35">
        <v>121018</v>
      </c>
      <c r="L35" s="2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9.61574074074074E-4</v>
      </c>
      <c r="M35" s="3">
        <f>IF(Table127163137496173[[#This Row],[run 1 times]]="",999.99,IF(Table127163137496173[[#This Row],[run 1 times]]=$S$3,0,MAX(0,ROUND(((Table127163137496173[[#This Row],[run 1 times]]-$S$3)/$S$3)*$T$6,2))))</f>
        <v>156.08000000000001</v>
      </c>
      <c r="N35" s="2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8.5520833333333336E-4</v>
      </c>
      <c r="O35" s="3">
        <f>IF(Table127163137496173[[#This Row],[run2 times]]="",999.99,IF(Table127163137496173[[#This Row],[run2 times]]=$T$3,0,MAX(0,ROUND(((Table127163137496173[[#This Row],[run2 times]]-$T$3)/$T$3)*$T$6,2))))</f>
        <v>50.37</v>
      </c>
      <c r="P35" s="2">
        <f>IF(OR(Table127163137496173[[#This Row],[run 1 times]]="",Table127163137496173[[#This Row],[run2 times]]=""),"",Table127163137496173[[#This Row],[run 1 times]]+Table127163137496173[[#This Row],[run2 times]])</f>
        <v>1.8167824074074074E-3</v>
      </c>
      <c r="Q35" s="3">
        <f>IF(Table127163137496173[[#This Row],[total time]]="",999.99,IF(Table127163137496173[[#This Row],[total time]]=$U$3,0,MAX(0,ROUND(((Table127163137496173[[#This Row],[total time]]-$U$3)/$U$3)*$T$6,2))))</f>
        <v>100.22</v>
      </c>
      <c r="W35">
        <v>36</v>
      </c>
      <c r="X35">
        <v>177</v>
      </c>
      <c r="Y35" t="s">
        <v>373</v>
      </c>
      <c r="Z35" t="s">
        <v>572</v>
      </c>
      <c r="AA35" t="s">
        <v>748</v>
      </c>
      <c r="AB35">
        <v>2008</v>
      </c>
      <c r="AC35" s="1" t="s">
        <v>512</v>
      </c>
      <c r="AD35" s="1">
        <v>7.5868055555555552E-4</v>
      </c>
      <c r="AE35" s="1"/>
      <c r="AG35">
        <v>125476</v>
      </c>
      <c r="AH35" s="2" t="str">
        <f>_xlfn.LET(_xlpm.x,Table122110193440526476[[#This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35" s="3">
        <f>IF(Table122110193440526476[[#This Row],[run 1 times]]="",999.99,IF(Table122110193440526476[[#This Row],[run 1 times]]=$AO$3,0,MAX(0,ROUND(((Table122110193440526476[[#This Row],[run 1 times]]-$AO$3)/$AO$3)*$AP$6,2))))</f>
        <v>999.99</v>
      </c>
      <c r="AJ35" s="2">
        <f>_xlfn.LET(_xlpm.x,Table122110193440526476[[#This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7.5868055555555552E-4</v>
      </c>
      <c r="AK35" s="3">
        <f>IF(Table122110193440526476[[#This Row],[run2 times]]="",999.99,IF(Table122110193440526476[[#This Row],[run2 times]]=$AP$3,0,MAX(0,ROUND(((Table122110193440526476[[#This Row],[run2 times]]-$AP$3)/$AP$3)*$AP$6,2))))</f>
        <v>174.14</v>
      </c>
      <c r="AL35" s="2" t="str">
        <f>IF(OR(Table122110193440526476[[#This Row],[run 1 times]]="",Table122110193440526476[[#This Row],[run2 times]]=""),"",Table122110193440526476[[#This Row],[run 1 times]]+Table122110193440526476[[#This Row],[run2 times]])</f>
        <v/>
      </c>
      <c r="AM35" s="3">
        <f>IF(Table122110193440526476[[#This Row],[total time]]="",999.99,IF(Table122110193440526476[[#This Row],[total time]]=$AQ$3,0,MAX(0,ROUND(((Table122110193440526476[[#This Row],[total time]]-$AQ$3)/$AQ$3)*$AP$6,2))))</f>
        <v>999.99</v>
      </c>
    </row>
    <row r="36" spans="1:39" x14ac:dyDescent="0.3">
      <c r="A36">
        <v>37</v>
      </c>
      <c r="B36">
        <v>92</v>
      </c>
      <c r="C36" t="s">
        <v>479</v>
      </c>
      <c r="D36" t="s">
        <v>522</v>
      </c>
      <c r="E36" t="s">
        <v>886</v>
      </c>
      <c r="F36">
        <v>2012</v>
      </c>
      <c r="G36" s="1">
        <v>1.0109953703703702E-3</v>
      </c>
      <c r="H36" s="1">
        <v>9.3865740740740737E-4</v>
      </c>
      <c r="I36" s="1">
        <v>1.9496527777777776E-3</v>
      </c>
      <c r="K36">
        <v>116315</v>
      </c>
      <c r="L36" s="2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1.0109953703703702E-3</v>
      </c>
      <c r="M36" s="3">
        <f>IF(Table127163137496173[[#This Row],[run 1 times]]="",999.99,IF(Table127163137496173[[#This Row],[run 1 times]]=$S$3,0,MAX(0,ROUND(((Table127163137496173[[#This Row],[run 1 times]]-$S$3)/$S$3)*$T$6,2))))</f>
        <v>216.01</v>
      </c>
      <c r="N36" s="2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9.3865740740740737E-4</v>
      </c>
      <c r="O36" s="3">
        <f>IF(Table127163137496173[[#This Row],[run2 times]]="",999.99,IF(Table127163137496173[[#This Row],[run2 times]]=$T$3,0,MAX(0,ROUND(((Table127163137496173[[#This Row],[run2 times]]-$T$3)/$T$3)*$T$6,2))))</f>
        <v>153.84</v>
      </c>
      <c r="P36" s="2">
        <f>IF(OR(Table127163137496173[[#This Row],[run 1 times]]="",Table127163137496173[[#This Row],[run2 times]]=""),"",Table127163137496173[[#This Row],[run 1 times]]+Table127163137496173[[#This Row],[run2 times]])</f>
        <v>1.9496527777777776E-3</v>
      </c>
      <c r="Q36" s="3">
        <f>IF(Table127163137496173[[#This Row],[total time]]="",999.99,IF(Table127163137496173[[#This Row],[total time]]=$U$3,0,MAX(0,ROUND(((Table127163137496173[[#This Row],[total time]]-$U$3)/$U$3)*$T$6,2))))</f>
        <v>181.42</v>
      </c>
      <c r="W36">
        <v>37</v>
      </c>
      <c r="X36">
        <v>178</v>
      </c>
      <c r="Y36" t="s">
        <v>487</v>
      </c>
      <c r="Z36" t="s">
        <v>547</v>
      </c>
      <c r="AA36" t="s">
        <v>847</v>
      </c>
      <c r="AB36">
        <v>2011</v>
      </c>
      <c r="AC36" s="1">
        <v>54.71</v>
      </c>
      <c r="AD36" s="1">
        <v>55.91</v>
      </c>
      <c r="AE36" s="1">
        <v>1.2803240740740741E-3</v>
      </c>
      <c r="AG36">
        <v>94634</v>
      </c>
      <c r="AH36" s="2">
        <f>_xlfn.LET(_xlpm.x,Table122110193440526476[[#This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6.3321759259259256E-4</v>
      </c>
      <c r="AI36" s="3">
        <f>IF(Table122110193440526476[[#This Row],[run 1 times]]="",999.99,IF(Table122110193440526476[[#This Row],[run 1 times]]=$AO$3,0,MAX(0,ROUND(((Table122110193440526476[[#This Row],[run 1 times]]-$AO$3)/$AO$3)*$AP$6,2))))</f>
        <v>35.74</v>
      </c>
      <c r="AJ36" s="2">
        <f>_xlfn.LET(_xlpm.x,Table122110193440526476[[#This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6.4710648148148147E-4</v>
      </c>
      <c r="AK36" s="3">
        <f>IF(Table122110193440526476[[#This Row],[run2 times]]="",999.99,IF(Table122110193440526476[[#This Row],[run2 times]]=$AP$3,0,MAX(0,ROUND(((Table122110193440526476[[#This Row],[run2 times]]-$AP$3)/$AP$3)*$AP$6,2))))</f>
        <v>0</v>
      </c>
      <c r="AL36" s="2">
        <f>IF(OR(Table122110193440526476[[#This Row],[run 1 times]]="",Table122110193440526476[[#This Row],[run2 times]]=""),"",Table122110193440526476[[#This Row],[run 1 times]]+Table122110193440526476[[#This Row],[run2 times]])</f>
        <v>1.2803240740740739E-3</v>
      </c>
      <c r="AM36" s="3">
        <f>IF(Table122110193440526476[[#This Row],[total time]]="",999.99,IF(Table122110193440526476[[#This Row],[total time]]=$AQ$3,0,MAX(0,ROUND(((Table122110193440526476[[#This Row],[total time]]-$AQ$3)/$AQ$3)*$AP$6,2))))</f>
        <v>16.420000000000002</v>
      </c>
    </row>
    <row r="37" spans="1:39" x14ac:dyDescent="0.3">
      <c r="A37">
        <v>38</v>
      </c>
      <c r="B37">
        <v>93</v>
      </c>
      <c r="C37" t="s">
        <v>373</v>
      </c>
      <c r="D37" t="s">
        <v>522</v>
      </c>
      <c r="E37" t="s">
        <v>683</v>
      </c>
      <c r="F37">
        <v>2013</v>
      </c>
      <c r="G37" s="1">
        <v>1.1184027777777776E-3</v>
      </c>
      <c r="H37" s="1">
        <v>1.0086805555555556E-3</v>
      </c>
      <c r="I37" s="1">
        <v>2.1270833333333333E-3</v>
      </c>
      <c r="K37">
        <v>107172</v>
      </c>
      <c r="L37" s="2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1.1184027777777776E-3</v>
      </c>
      <c r="M37" s="3">
        <f>IF(Table127163137496173[[#This Row],[run 1 times]]="",999.99,IF(Table127163137496173[[#This Row],[run 1 times]]=$S$3,0,MAX(0,ROUND(((Table127163137496173[[#This Row],[run 1 times]]-$S$3)/$S$3)*$T$6,2))))</f>
        <v>346.26</v>
      </c>
      <c r="N37" s="2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1.0086805555555556E-3</v>
      </c>
      <c r="O37" s="3">
        <f>IF(Table127163137496173[[#This Row],[run2 times]]="",999.99,IF(Table127163137496173[[#This Row],[run2 times]]=$T$3,0,MAX(0,ROUND(((Table127163137496173[[#This Row],[run2 times]]-$T$3)/$T$3)*$T$6,2))))</f>
        <v>240.66</v>
      </c>
      <c r="P37" s="2">
        <f>IF(OR(Table127163137496173[[#This Row],[run 1 times]]="",Table127163137496173[[#This Row],[run2 times]]=""),"",Table127163137496173[[#This Row],[run 1 times]]+Table127163137496173[[#This Row],[run2 times]])</f>
        <v>2.1270833333333333E-3</v>
      </c>
      <c r="Q37" s="3">
        <f>IF(Table127163137496173[[#This Row],[total time]]="",999.99,IF(Table127163137496173[[#This Row],[total time]]=$U$3,0,MAX(0,ROUND(((Table127163137496173[[#This Row],[total time]]-$U$3)/$U$3)*$T$6,2))))</f>
        <v>289.83999999999997</v>
      </c>
      <c r="W37">
        <v>38</v>
      </c>
      <c r="X37">
        <v>179</v>
      </c>
      <c r="Y37" t="s">
        <v>24</v>
      </c>
      <c r="Z37" t="s">
        <v>572</v>
      </c>
      <c r="AA37" t="s">
        <v>848</v>
      </c>
      <c r="AB37">
        <v>2009</v>
      </c>
      <c r="AC37" s="1">
        <v>55.73</v>
      </c>
      <c r="AD37" s="1" t="s">
        <v>512</v>
      </c>
      <c r="AE37" s="1"/>
      <c r="AG37">
        <v>93748</v>
      </c>
      <c r="AH37" s="2">
        <f>_xlfn.LET(_xlpm.x,Table122110193440526476[[#This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6.4502314814814815E-4</v>
      </c>
      <c r="AI37" s="3">
        <f>IF(Table122110193440526476[[#This Row],[run 1 times]]="",999.99,IF(Table122110193440526476[[#This Row],[run 1 times]]=$AO$3,0,MAX(0,ROUND(((Table122110193440526476[[#This Row],[run 1 times]]-$AO$3)/$AO$3)*$AP$6,2))))</f>
        <v>55.24</v>
      </c>
      <c r="AJ37" s="2" t="str">
        <f>_xlfn.LET(_xlpm.x,Table122110193440526476[[#This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37" s="3">
        <f>IF(Table122110193440526476[[#This Row],[run2 times]]="",999.99,IF(Table122110193440526476[[#This Row],[run2 times]]=$AP$3,0,MAX(0,ROUND(((Table122110193440526476[[#This Row],[run2 times]]-$AP$3)/$AP$3)*$AP$6,2))))</f>
        <v>999.99</v>
      </c>
      <c r="AL37" s="2" t="str">
        <f>IF(OR(Table122110193440526476[[#This Row],[run 1 times]]="",Table122110193440526476[[#This Row],[run2 times]]=""),"",Table122110193440526476[[#This Row],[run 1 times]]+Table122110193440526476[[#This Row],[run2 times]])</f>
        <v/>
      </c>
      <c r="AM37" s="3">
        <f>IF(Table122110193440526476[[#This Row],[total time]]="",999.99,IF(Table122110193440526476[[#This Row],[total time]]=$AQ$3,0,MAX(0,ROUND(((Table122110193440526476[[#This Row],[total time]]-$AQ$3)/$AQ$3)*$AP$6,2))))</f>
        <v>999.99</v>
      </c>
    </row>
    <row r="38" spans="1:39" x14ac:dyDescent="0.3">
      <c r="A38">
        <v>40</v>
      </c>
      <c r="B38">
        <v>95</v>
      </c>
      <c r="C38" t="s">
        <v>257</v>
      </c>
      <c r="D38" t="s">
        <v>480</v>
      </c>
      <c r="E38" t="s">
        <v>887</v>
      </c>
      <c r="F38">
        <v>2014</v>
      </c>
      <c r="G38" s="1">
        <v>1.0704861111111112E-3</v>
      </c>
      <c r="H38" s="1">
        <v>9.9722222222222226E-4</v>
      </c>
      <c r="I38" s="1">
        <v>2.0677083333333333E-3</v>
      </c>
      <c r="K38">
        <v>117770</v>
      </c>
      <c r="L38" s="2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1.0704861111111112E-3</v>
      </c>
      <c r="M38" s="3">
        <f>IF(Table127163137496173[[#This Row],[run 1 times]]="",999.99,IF(Table127163137496173[[#This Row],[run 1 times]]=$S$3,0,MAX(0,ROUND(((Table127163137496173[[#This Row],[run 1 times]]-$S$3)/$S$3)*$T$6,2))))</f>
        <v>288.14999999999998</v>
      </c>
      <c r="N38" s="2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9.9722222222222226E-4</v>
      </c>
      <c r="O38" s="3">
        <f>IF(Table127163137496173[[#This Row],[run2 times]]="",999.99,IF(Table127163137496173[[#This Row],[run2 times]]=$T$3,0,MAX(0,ROUND(((Table127163137496173[[#This Row],[run2 times]]-$T$3)/$T$3)*$T$6,2))))</f>
        <v>226.45</v>
      </c>
      <c r="P38" s="2">
        <f>IF(OR(Table127163137496173[[#This Row],[run 1 times]]="",Table127163137496173[[#This Row],[run2 times]]=""),"",Table127163137496173[[#This Row],[run 1 times]]+Table127163137496173[[#This Row],[run2 times]])</f>
        <v>2.0677083333333337E-3</v>
      </c>
      <c r="Q38" s="3">
        <f>IF(Table127163137496173[[#This Row],[total time]]="",999.99,IF(Table127163137496173[[#This Row],[total time]]=$U$3,0,MAX(0,ROUND(((Table127163137496173[[#This Row],[total time]]-$U$3)/$U$3)*$T$6,2))))</f>
        <v>253.56</v>
      </c>
      <c r="W38">
        <v>39</v>
      </c>
      <c r="X38">
        <v>180</v>
      </c>
      <c r="Y38" t="s">
        <v>24</v>
      </c>
      <c r="Z38" t="s">
        <v>547</v>
      </c>
      <c r="AA38" t="s">
        <v>754</v>
      </c>
      <c r="AB38">
        <v>2010</v>
      </c>
      <c r="AC38" s="1">
        <v>56.43</v>
      </c>
      <c r="AD38" s="1" t="s">
        <v>512</v>
      </c>
      <c r="AE38" s="1"/>
      <c r="AG38">
        <v>93749</v>
      </c>
      <c r="AH38" s="2">
        <f>_xlfn.LET(_xlpm.x,Table122110193440526476[[#This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6.5312499999999995E-4</v>
      </c>
      <c r="AI38" s="3">
        <f>IF(Table122110193440526476[[#This Row],[run 1 times]]="",999.99,IF(Table122110193440526476[[#This Row],[run 1 times]]=$AO$3,0,MAX(0,ROUND(((Table122110193440526476[[#This Row],[run 1 times]]-$AO$3)/$AO$3)*$AP$6,2))))</f>
        <v>68.62</v>
      </c>
      <c r="AJ38" s="2" t="str">
        <f>_xlfn.LET(_xlpm.x,Table122110193440526476[[#This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38" s="3">
        <f>IF(Table122110193440526476[[#This Row],[run2 times]]="",999.99,IF(Table122110193440526476[[#This Row],[run2 times]]=$AP$3,0,MAX(0,ROUND(((Table122110193440526476[[#This Row],[run2 times]]-$AP$3)/$AP$3)*$AP$6,2))))</f>
        <v>999.99</v>
      </c>
      <c r="AL38" s="2" t="str">
        <f>IF(OR(Table122110193440526476[[#This Row],[run 1 times]]="",Table122110193440526476[[#This Row],[run2 times]]=""),"",Table122110193440526476[[#This Row],[run 1 times]]+Table122110193440526476[[#This Row],[run2 times]])</f>
        <v/>
      </c>
      <c r="AM38" s="3">
        <f>IF(Table122110193440526476[[#This Row],[total time]]="",999.99,IF(Table122110193440526476[[#This Row],[total time]]=$AQ$3,0,MAX(0,ROUND(((Table122110193440526476[[#This Row],[total time]]-$AQ$3)/$AQ$3)*$AP$6,2))))</f>
        <v>999.99</v>
      </c>
    </row>
    <row r="39" spans="1:39" x14ac:dyDescent="0.3">
      <c r="A39">
        <v>44</v>
      </c>
      <c r="B39">
        <v>99</v>
      </c>
      <c r="C39" t="s">
        <v>257</v>
      </c>
      <c r="D39" t="s">
        <v>480</v>
      </c>
      <c r="E39" t="s">
        <v>888</v>
      </c>
      <c r="F39">
        <v>2015</v>
      </c>
      <c r="G39" s="1">
        <v>1.4887731481481481E-3</v>
      </c>
      <c r="H39" s="1">
        <v>1.3100694444444444E-3</v>
      </c>
      <c r="I39" s="1">
        <v>2.7988425925925924E-3</v>
      </c>
      <c r="K39">
        <v>124079</v>
      </c>
      <c r="L39" s="2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1.4887731481481481E-3</v>
      </c>
      <c r="M39" s="3">
        <f>IF(Table127163137496173[[#This Row],[run 1 times]]="",999.99,IF(Table127163137496173[[#This Row],[run 1 times]]=$S$3,0,MAX(0,ROUND(((Table127163137496173[[#This Row],[run 1 times]]-$S$3)/$S$3)*$T$6,2))))</f>
        <v>795.4</v>
      </c>
      <c r="N39" s="2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1.3100694444444444E-3</v>
      </c>
      <c r="O39" s="3">
        <f>IF(Table127163137496173[[#This Row],[run2 times]]="",999.99,IF(Table127163137496173[[#This Row],[run2 times]]=$T$3,0,MAX(0,ROUND(((Table127163137496173[[#This Row],[run2 times]]-$T$3)/$T$3)*$T$6,2))))</f>
        <v>614.35</v>
      </c>
      <c r="P39" s="2">
        <f>IF(OR(Table127163137496173[[#This Row],[run 1 times]]="",Table127163137496173[[#This Row],[run2 times]]=""),"",Table127163137496173[[#This Row],[run 1 times]]+Table127163137496173[[#This Row],[run2 times]])</f>
        <v>2.7988425925925924E-3</v>
      </c>
      <c r="Q39" s="3">
        <f>IF(Table127163137496173[[#This Row],[total time]]="",999.99,IF(Table127163137496173[[#This Row],[total time]]=$U$3,0,MAX(0,ROUND(((Table127163137496173[[#This Row],[total time]]-$U$3)/$U$3)*$T$6,2))))</f>
        <v>700.35</v>
      </c>
      <c r="W39">
        <v>40</v>
      </c>
      <c r="X39">
        <v>181</v>
      </c>
      <c r="Y39" t="s">
        <v>24</v>
      </c>
      <c r="Z39" t="s">
        <v>552</v>
      </c>
      <c r="AA39" t="s">
        <v>749</v>
      </c>
      <c r="AB39">
        <v>2009</v>
      </c>
      <c r="AC39" s="1">
        <v>57.48</v>
      </c>
      <c r="AD39" s="1">
        <v>7.0104166666666665E-4</v>
      </c>
      <c r="AE39" s="1">
        <v>1.3663194444444443E-3</v>
      </c>
      <c r="AG39">
        <v>104657</v>
      </c>
      <c r="AH39" s="2">
        <f>_xlfn.LET(_xlpm.x,Table122110193440526476[[#This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6.6527777777777776E-4</v>
      </c>
      <c r="AI39" s="3">
        <f>IF(Table122110193440526476[[#This Row],[run 1 times]]="",999.99,IF(Table122110193440526476[[#This Row],[run 1 times]]=$AO$3,0,MAX(0,ROUND(((Table122110193440526476[[#This Row],[run 1 times]]-$AO$3)/$AO$3)*$AP$6,2))))</f>
        <v>88.69</v>
      </c>
      <c r="AJ39" s="2">
        <f>_xlfn.LET(_xlpm.x,Table122110193440526476[[#This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7.0104166666666665E-4</v>
      </c>
      <c r="AK39" s="3">
        <f>IF(Table122110193440526476[[#This Row],[run2 times]]="",999.99,IF(Table122110193440526476[[#This Row],[run2 times]]=$AP$3,0,MAX(0,ROUND(((Table122110193440526476[[#This Row],[run2 times]]-$AP$3)/$AP$3)*$AP$6,2))))</f>
        <v>84.18</v>
      </c>
      <c r="AL39" s="2">
        <f>IF(OR(Table122110193440526476[[#This Row],[run 1 times]]="",Table122110193440526476[[#This Row],[run2 times]]=""),"",Table122110193440526476[[#This Row],[run 1 times]]+Table122110193440526476[[#This Row],[run2 times]])</f>
        <v>1.3663194444444443E-3</v>
      </c>
      <c r="AM39" s="3">
        <f>IF(Table122110193440526476[[#This Row],[total time]]="",999.99,IF(Table122110193440526476[[#This Row],[total time]]=$AQ$3,0,MAX(0,ROUND(((Table122110193440526476[[#This Row],[total time]]-$AQ$3)/$AQ$3)*$AP$6,2))))</f>
        <v>85.37</v>
      </c>
    </row>
    <row r="40" spans="1:39" x14ac:dyDescent="0.3">
      <c r="A40">
        <v>45</v>
      </c>
      <c r="B40">
        <v>100</v>
      </c>
      <c r="C40" t="s">
        <v>487</v>
      </c>
      <c r="D40" t="s">
        <v>522</v>
      </c>
      <c r="E40" t="s">
        <v>699</v>
      </c>
      <c r="F40">
        <v>2012</v>
      </c>
      <c r="G40" s="1">
        <v>9.1261574074074064E-4</v>
      </c>
      <c r="H40" s="1">
        <v>8.4930555555555551E-4</v>
      </c>
      <c r="I40" s="1">
        <v>1.7619212962962962E-3</v>
      </c>
      <c r="K40">
        <v>102437</v>
      </c>
      <c r="L40" s="2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9.1261574074074064E-4</v>
      </c>
      <c r="M40" s="3">
        <f>IF(Table127163137496173[[#This Row],[run 1 times]]="",999.99,IF(Table127163137496173[[#This Row],[run 1 times]]=$S$3,0,MAX(0,ROUND(((Table127163137496173[[#This Row],[run 1 times]]-$S$3)/$S$3)*$T$6,2))))</f>
        <v>96.71</v>
      </c>
      <c r="N40" s="2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8.4930555555555551E-4</v>
      </c>
      <c r="O40" s="3">
        <f>IF(Table127163137496173[[#This Row],[run2 times]]="",999.99,IF(Table127163137496173[[#This Row],[run2 times]]=$T$3,0,MAX(0,ROUND(((Table127163137496173[[#This Row],[run2 times]]-$T$3)/$T$3)*$T$6,2))))</f>
        <v>43.05</v>
      </c>
      <c r="P40" s="2">
        <f>IF(OR(Table127163137496173[[#This Row],[run 1 times]]="",Table127163137496173[[#This Row],[run2 times]]=""),"",Table127163137496173[[#This Row],[run 1 times]]+Table127163137496173[[#This Row],[run2 times]])</f>
        <v>1.7619212962962962E-3</v>
      </c>
      <c r="Q40" s="3">
        <f>IF(Table127163137496173[[#This Row],[total time]]="",999.99,IF(Table127163137496173[[#This Row],[total time]]=$U$3,0,MAX(0,ROUND(((Table127163137496173[[#This Row],[total time]]-$U$3)/$U$3)*$T$6,2))))</f>
        <v>66.7</v>
      </c>
      <c r="W40">
        <v>2</v>
      </c>
      <c r="X40">
        <v>143</v>
      </c>
      <c r="Y40" t="s">
        <v>373</v>
      </c>
      <c r="Z40" t="s">
        <v>547</v>
      </c>
      <c r="AA40" t="s">
        <v>753</v>
      </c>
      <c r="AB40">
        <v>2011</v>
      </c>
      <c r="AC40" s="1" t="s">
        <v>510</v>
      </c>
      <c r="AD40" s="1" t="s">
        <v>510</v>
      </c>
      <c r="AE40" s="1"/>
      <c r="AG40">
        <v>112387</v>
      </c>
      <c r="AH40" s="2" t="str">
        <f>_xlfn.LET(_xlpm.x,Table122110193440526476[[#This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40" s="3">
        <f>IF(Table122110193440526476[[#This Row],[run 1 times]]="",999.99,IF(Table122110193440526476[[#This Row],[run 1 times]]=$AO$3,0,MAX(0,ROUND(((Table122110193440526476[[#This Row],[run 1 times]]-$AO$3)/$AO$3)*$AP$6,2))))</f>
        <v>999.99</v>
      </c>
      <c r="AJ40" s="2" t="str">
        <f>_xlfn.LET(_xlpm.x,Table122110193440526476[[#This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40" s="3">
        <f>IF(Table122110193440526476[[#This Row],[run2 times]]="",999.99,IF(Table122110193440526476[[#This Row],[run2 times]]=$AP$3,0,MAX(0,ROUND(((Table122110193440526476[[#This Row],[run2 times]]-$AP$3)/$AP$3)*$AP$6,2))))</f>
        <v>999.99</v>
      </c>
      <c r="AL40" s="2" t="str">
        <f>IF(OR(Table122110193440526476[[#This Row],[run 1 times]]="",Table122110193440526476[[#This Row],[run2 times]]=""),"",Table122110193440526476[[#This Row],[run 1 times]]+Table122110193440526476[[#This Row],[run2 times]])</f>
        <v/>
      </c>
      <c r="AM40" s="3">
        <f>IF(Table122110193440526476[[#This Row],[total time]]="",999.99,IF(Table122110193440526476[[#This Row],[total time]]=$AQ$3,0,MAX(0,ROUND(((Table122110193440526476[[#This Row],[total time]]-$AQ$3)/$AQ$3)*$AP$6,2))))</f>
        <v>999.99</v>
      </c>
    </row>
    <row r="41" spans="1:39" x14ac:dyDescent="0.3">
      <c r="A41">
        <v>49</v>
      </c>
      <c r="B41">
        <v>104</v>
      </c>
      <c r="C41" t="s">
        <v>223</v>
      </c>
      <c r="D41" t="s">
        <v>522</v>
      </c>
      <c r="E41" t="s">
        <v>672</v>
      </c>
      <c r="F41">
        <v>2013</v>
      </c>
      <c r="G41" s="1">
        <v>8.7280092592592585E-4</v>
      </c>
      <c r="H41" s="1">
        <v>8.2581018518518507E-4</v>
      </c>
      <c r="I41" s="1">
        <v>1.698611111111111E-3</v>
      </c>
      <c r="K41">
        <v>105181</v>
      </c>
      <c r="L41" s="2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8.7280092592592585E-4</v>
      </c>
      <c r="M41" s="3">
        <f>IF(Table127163137496173[[#This Row],[run 1 times]]="",999.99,IF(Table127163137496173[[#This Row],[run 1 times]]=$S$3,0,MAX(0,ROUND(((Table127163137496173[[#This Row],[run 1 times]]-$S$3)/$S$3)*$T$6,2))))</f>
        <v>48.42</v>
      </c>
      <c r="N41" s="2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8.2581018518518507E-4</v>
      </c>
      <c r="O41" s="3">
        <f>IF(Table127163137496173[[#This Row],[run2 times]]="",999.99,IF(Table127163137496173[[#This Row],[run2 times]]=$T$3,0,MAX(0,ROUND(((Table127163137496173[[#This Row],[run2 times]]-$T$3)/$T$3)*$T$6,2))))</f>
        <v>13.92</v>
      </c>
      <c r="P41" s="2">
        <f>IF(OR(Table127163137496173[[#This Row],[run 1 times]]="",Table127163137496173[[#This Row],[run2 times]]=""),"",Table127163137496173[[#This Row],[run 1 times]]+Table127163137496173[[#This Row],[run2 times]])</f>
        <v>1.6986111111111108E-3</v>
      </c>
      <c r="Q41" s="3">
        <f>IF(Table127163137496173[[#This Row],[total time]]="",999.99,IF(Table127163137496173[[#This Row],[total time]]=$U$3,0,MAX(0,ROUND(((Table127163137496173[[#This Row],[total time]]-$U$3)/$U$3)*$T$6,2))))</f>
        <v>28.01</v>
      </c>
      <c r="W41">
        <v>4</v>
      </c>
      <c r="X41">
        <v>145</v>
      </c>
      <c r="Y41" t="s">
        <v>479</v>
      </c>
      <c r="Z41" t="s">
        <v>547</v>
      </c>
      <c r="AA41" t="s">
        <v>768</v>
      </c>
      <c r="AB41">
        <v>2011</v>
      </c>
      <c r="AC41" s="1">
        <v>7.5879629629629637E-4</v>
      </c>
      <c r="AD41" s="1" t="s">
        <v>510</v>
      </c>
      <c r="AE41" s="1"/>
      <c r="AG41">
        <v>89891</v>
      </c>
      <c r="AH41" s="2">
        <f>_xlfn.LET(_xlpm.x,Table122110193440526476[[#This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7.5879629629629637E-4</v>
      </c>
      <c r="AI41" s="3">
        <f>IF(Table122110193440526476[[#This Row],[run 1 times]]="",999.99,IF(Table122110193440526476[[#This Row],[run 1 times]]=$AO$3,0,MAX(0,ROUND(((Table122110193440526476[[#This Row],[run 1 times]]-$AO$3)/$AO$3)*$AP$6,2))))</f>
        <v>243.13</v>
      </c>
      <c r="AJ41" s="2" t="str">
        <f>_xlfn.LET(_xlpm.x,Table122110193440526476[[#This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41" s="3">
        <f>IF(Table122110193440526476[[#This Row],[run2 times]]="",999.99,IF(Table122110193440526476[[#This Row],[run2 times]]=$AP$3,0,MAX(0,ROUND(((Table122110193440526476[[#This Row],[run2 times]]-$AP$3)/$AP$3)*$AP$6,2))))</f>
        <v>999.99</v>
      </c>
      <c r="AL41" s="2" t="str">
        <f>IF(OR(Table122110193440526476[[#This Row],[run 1 times]]="",Table122110193440526476[[#This Row],[run2 times]]=""),"",Table122110193440526476[[#This Row],[run 1 times]]+Table122110193440526476[[#This Row],[run2 times]])</f>
        <v/>
      </c>
      <c r="AM41" s="3">
        <f>IF(Table122110193440526476[[#This Row],[total time]]="",999.99,IF(Table122110193440526476[[#This Row],[total time]]=$AQ$3,0,MAX(0,ROUND(((Table122110193440526476[[#This Row],[total time]]-$AQ$3)/$AQ$3)*$AP$6,2))))</f>
        <v>999.99</v>
      </c>
    </row>
    <row r="42" spans="1:39" x14ac:dyDescent="0.3">
      <c r="A42">
        <v>50</v>
      </c>
      <c r="B42">
        <v>105</v>
      </c>
      <c r="C42" t="s">
        <v>257</v>
      </c>
      <c r="D42" t="s">
        <v>480</v>
      </c>
      <c r="E42" t="s">
        <v>892</v>
      </c>
      <c r="F42">
        <v>2014</v>
      </c>
      <c r="G42" s="1" t="s">
        <v>512</v>
      </c>
      <c r="H42" s="1">
        <v>1.0488425925925928E-3</v>
      </c>
      <c r="I42" s="1"/>
      <c r="K42">
        <v>121964</v>
      </c>
      <c r="L42" s="2" t="str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42" s="3">
        <f>IF(Table127163137496173[[#This Row],[run 1 times]]="",999.99,IF(Table127163137496173[[#This Row],[run 1 times]]=$S$3,0,MAX(0,ROUND(((Table127163137496173[[#This Row],[run 1 times]]-$S$3)/$S$3)*$T$6,2))))</f>
        <v>999.99</v>
      </c>
      <c r="N42" s="2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1.0488425925925928E-3</v>
      </c>
      <c r="O42" s="3">
        <f>IF(Table127163137496173[[#This Row],[run2 times]]="",999.99,IF(Table127163137496173[[#This Row],[run2 times]]=$T$3,0,MAX(0,ROUND(((Table127163137496173[[#This Row],[run2 times]]-$T$3)/$T$3)*$T$6,2))))</f>
        <v>290.45999999999998</v>
      </c>
      <c r="P42" s="2" t="str">
        <f>IF(OR(Table127163137496173[[#This Row],[run 1 times]]="",Table127163137496173[[#This Row],[run2 times]]=""),"",Table127163137496173[[#This Row],[run 1 times]]+Table127163137496173[[#This Row],[run2 times]])</f>
        <v/>
      </c>
      <c r="Q42" s="3">
        <f>IF(Table127163137496173[[#This Row],[total time]]="",999.99,IF(Table127163137496173[[#This Row],[total time]]=$U$3,0,MAX(0,ROUND(((Table127163137496173[[#This Row],[total time]]-$U$3)/$U$3)*$T$6,2))))</f>
        <v>999.99</v>
      </c>
      <c r="W42">
        <v>9</v>
      </c>
      <c r="X42">
        <v>150</v>
      </c>
      <c r="Y42" t="s">
        <v>24</v>
      </c>
      <c r="Z42" t="s">
        <v>547</v>
      </c>
      <c r="AA42" t="s">
        <v>840</v>
      </c>
      <c r="AB42">
        <v>2010</v>
      </c>
      <c r="AC42" s="1" t="s">
        <v>510</v>
      </c>
      <c r="AD42" s="1" t="s">
        <v>510</v>
      </c>
      <c r="AE42" s="1"/>
      <c r="AG42">
        <v>88937</v>
      </c>
      <c r="AH42" s="2" t="str">
        <f>_xlfn.LET(_xlpm.x,Table122110193440526476[[#This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42" s="3">
        <f>IF(Table122110193440526476[[#This Row],[run 1 times]]="",999.99,IF(Table122110193440526476[[#This Row],[run 1 times]]=$AO$3,0,MAX(0,ROUND(((Table122110193440526476[[#This Row],[run 1 times]]-$AO$3)/$AO$3)*$AP$6,2))))</f>
        <v>999.99</v>
      </c>
      <c r="AJ42" s="2" t="str">
        <f>_xlfn.LET(_xlpm.x,Table122110193440526476[[#This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42" s="3">
        <f>IF(Table122110193440526476[[#This Row],[run2 times]]="",999.99,IF(Table122110193440526476[[#This Row],[run2 times]]=$AP$3,0,MAX(0,ROUND(((Table122110193440526476[[#This Row],[run2 times]]-$AP$3)/$AP$3)*$AP$6,2))))</f>
        <v>999.99</v>
      </c>
      <c r="AL42" s="2" t="str">
        <f>IF(OR(Table122110193440526476[[#This Row],[run 1 times]]="",Table122110193440526476[[#This Row],[run2 times]]=""),"",Table122110193440526476[[#This Row],[run 1 times]]+Table122110193440526476[[#This Row],[run2 times]])</f>
        <v/>
      </c>
      <c r="AM42" s="3">
        <f>IF(Table122110193440526476[[#This Row],[total time]]="",999.99,IF(Table122110193440526476[[#This Row],[total time]]=$AQ$3,0,MAX(0,ROUND(((Table122110193440526476[[#This Row],[total time]]-$AQ$3)/$AQ$3)*$AP$6,2))))</f>
        <v>999.99</v>
      </c>
    </row>
    <row r="43" spans="1:39" x14ac:dyDescent="0.3">
      <c r="A43">
        <v>4</v>
      </c>
      <c r="B43">
        <v>58</v>
      </c>
      <c r="C43" t="s">
        <v>479</v>
      </c>
      <c r="D43" t="s">
        <v>522</v>
      </c>
      <c r="E43" t="s">
        <v>670</v>
      </c>
      <c r="F43">
        <v>2012</v>
      </c>
      <c r="G43" s="1" t="s">
        <v>510</v>
      </c>
      <c r="H43" s="1" t="s">
        <v>510</v>
      </c>
      <c r="I43" s="1"/>
      <c r="K43">
        <v>101431</v>
      </c>
      <c r="L43" s="2" t="str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43" s="3">
        <f>IF(Table127163137496173[[#This Row],[run 1 times]]="",999.99,IF(Table127163137496173[[#This Row],[run 1 times]]=$S$3,0,MAX(0,ROUND(((Table127163137496173[[#This Row],[run 1 times]]-$S$3)/$S$3)*$T$6,2))))</f>
        <v>999.99</v>
      </c>
      <c r="N43" s="2" t="str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43" s="3">
        <f>IF(Table127163137496173[[#This Row],[run2 times]]="",999.99,IF(Table127163137496173[[#This Row],[run2 times]]=$T$3,0,MAX(0,ROUND(((Table127163137496173[[#This Row],[run2 times]]-$T$3)/$T$3)*$T$6,2))))</f>
        <v>999.99</v>
      </c>
      <c r="P43" s="2" t="str">
        <f>IF(OR(Table127163137496173[[#This Row],[run 1 times]]="",Table127163137496173[[#This Row],[run2 times]]=""),"",Table127163137496173[[#This Row],[run 1 times]]+Table127163137496173[[#This Row],[run2 times]])</f>
        <v/>
      </c>
      <c r="Q43" s="3">
        <f>IF(Table127163137496173[[#This Row],[total time]]="",999.99,IF(Table127163137496173[[#This Row],[total time]]=$U$3,0,MAX(0,ROUND(((Table127163137496173[[#This Row],[total time]]-$U$3)/$U$3)*$T$6,2))))</f>
        <v>999.99</v>
      </c>
    </row>
    <row r="44" spans="1:39" x14ac:dyDescent="0.3">
      <c r="A44">
        <v>6</v>
      </c>
      <c r="B44">
        <v>60</v>
      </c>
      <c r="C44" t="s">
        <v>851</v>
      </c>
      <c r="D44" t="s">
        <v>522</v>
      </c>
      <c r="E44" t="s">
        <v>874</v>
      </c>
      <c r="F44">
        <v>2012</v>
      </c>
      <c r="G44" s="1" t="s">
        <v>510</v>
      </c>
      <c r="H44" s="1" t="s">
        <v>510</v>
      </c>
      <c r="I44" s="1"/>
      <c r="K44">
        <v>7186083</v>
      </c>
      <c r="L44" s="2" t="str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44" s="3">
        <f>IF(Table127163137496173[[#This Row],[run 1 times]]="",999.99,IF(Table127163137496173[[#This Row],[run 1 times]]=$S$3,0,MAX(0,ROUND(((Table127163137496173[[#This Row],[run 1 times]]-$S$3)/$S$3)*$T$6,2))))</f>
        <v>999.99</v>
      </c>
      <c r="N44" s="2" t="str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44" s="3">
        <f>IF(Table127163137496173[[#This Row],[run2 times]]="",999.99,IF(Table127163137496173[[#This Row],[run2 times]]=$T$3,0,MAX(0,ROUND(((Table127163137496173[[#This Row],[run2 times]]-$T$3)/$T$3)*$T$6,2))))</f>
        <v>999.99</v>
      </c>
      <c r="P44" s="2" t="str">
        <f>IF(OR(Table127163137496173[[#This Row],[run 1 times]]="",Table127163137496173[[#This Row],[run2 times]]=""),"",Table127163137496173[[#This Row],[run 1 times]]+Table127163137496173[[#This Row],[run2 times]])</f>
        <v/>
      </c>
      <c r="Q44" s="3">
        <f>IF(Table127163137496173[[#This Row],[total time]]="",999.99,IF(Table127163137496173[[#This Row],[total time]]=$U$3,0,MAX(0,ROUND(((Table127163137496173[[#This Row],[total time]]-$U$3)/$U$3)*$T$6,2))))</f>
        <v>999.99</v>
      </c>
    </row>
    <row r="45" spans="1:39" x14ac:dyDescent="0.3">
      <c r="A45">
        <v>7</v>
      </c>
      <c r="B45">
        <v>61</v>
      </c>
      <c r="C45" t="s">
        <v>851</v>
      </c>
      <c r="D45" t="s">
        <v>522</v>
      </c>
      <c r="E45" t="s">
        <v>875</v>
      </c>
      <c r="F45">
        <v>2012</v>
      </c>
      <c r="G45" s="1" t="s">
        <v>510</v>
      </c>
      <c r="H45" s="1" t="s">
        <v>510</v>
      </c>
      <c r="I45" s="1"/>
      <c r="K45">
        <v>7229449</v>
      </c>
      <c r="L45" s="2" t="str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45" s="3">
        <f>IF(Table127163137496173[[#This Row],[run 1 times]]="",999.99,IF(Table127163137496173[[#This Row],[run 1 times]]=$S$3,0,MAX(0,ROUND(((Table127163137496173[[#This Row],[run 1 times]]-$S$3)/$S$3)*$T$6,2))))</f>
        <v>999.99</v>
      </c>
      <c r="N45" s="2" t="str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45" s="3">
        <f>IF(Table127163137496173[[#This Row],[run2 times]]="",999.99,IF(Table127163137496173[[#This Row],[run2 times]]=$T$3,0,MAX(0,ROUND(((Table127163137496173[[#This Row],[run2 times]]-$T$3)/$T$3)*$T$6,2))))</f>
        <v>999.99</v>
      </c>
      <c r="P45" s="2" t="str">
        <f>IF(OR(Table127163137496173[[#This Row],[run 1 times]]="",Table127163137496173[[#This Row],[run2 times]]=""),"",Table127163137496173[[#This Row],[run 1 times]]+Table127163137496173[[#This Row],[run2 times]])</f>
        <v/>
      </c>
      <c r="Q45" s="3">
        <f>IF(Table127163137496173[[#This Row],[total time]]="",999.99,IF(Table127163137496173[[#This Row],[total time]]=$U$3,0,MAX(0,ROUND(((Table127163137496173[[#This Row],[total time]]-$U$3)/$U$3)*$T$6,2))))</f>
        <v>999.99</v>
      </c>
    </row>
    <row r="46" spans="1:39" x14ac:dyDescent="0.3">
      <c r="A46">
        <v>21</v>
      </c>
      <c r="B46">
        <v>76</v>
      </c>
      <c r="C46" t="s">
        <v>24</v>
      </c>
      <c r="D46" t="s">
        <v>522</v>
      </c>
      <c r="E46" t="s">
        <v>893</v>
      </c>
      <c r="F46">
        <v>2013</v>
      </c>
      <c r="G46" s="1">
        <v>1.1371527777777777E-3</v>
      </c>
      <c r="H46" s="1" t="s">
        <v>510</v>
      </c>
      <c r="I46" s="1"/>
      <c r="K46">
        <v>102827</v>
      </c>
      <c r="L46" s="2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1.1371527777777777E-3</v>
      </c>
      <c r="M46" s="3">
        <f>IF(Table127163137496173[[#This Row],[run 1 times]]="",999.99,IF(Table127163137496173[[#This Row],[run 1 times]]=$S$3,0,MAX(0,ROUND(((Table127163137496173[[#This Row],[run 1 times]]-$S$3)/$S$3)*$T$6,2))))</f>
        <v>369</v>
      </c>
      <c r="N46" s="2" t="str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46" s="3">
        <f>IF(Table127163137496173[[#This Row],[run2 times]]="",999.99,IF(Table127163137496173[[#This Row],[run2 times]]=$T$3,0,MAX(0,ROUND(((Table127163137496173[[#This Row],[run2 times]]-$T$3)/$T$3)*$T$6,2))))</f>
        <v>999.99</v>
      </c>
      <c r="P46" s="2" t="str">
        <f>IF(OR(Table127163137496173[[#This Row],[run 1 times]]="",Table127163137496173[[#This Row],[run2 times]]=""),"",Table127163137496173[[#This Row],[run 1 times]]+Table127163137496173[[#This Row],[run2 times]])</f>
        <v/>
      </c>
      <c r="Q46" s="3">
        <f>IF(Table127163137496173[[#This Row],[total time]]="",999.99,IF(Table127163137496173[[#This Row],[total time]]=$U$3,0,MAX(0,ROUND(((Table127163137496173[[#This Row],[total time]]-$U$3)/$U$3)*$T$6,2))))</f>
        <v>999.99</v>
      </c>
    </row>
    <row r="47" spans="1:39" x14ac:dyDescent="0.3">
      <c r="A47">
        <v>22</v>
      </c>
      <c r="B47">
        <v>77</v>
      </c>
      <c r="C47" t="s">
        <v>257</v>
      </c>
      <c r="D47" t="s">
        <v>480</v>
      </c>
      <c r="E47" t="s">
        <v>894</v>
      </c>
      <c r="F47">
        <v>2014</v>
      </c>
      <c r="G47" s="1" t="s">
        <v>510</v>
      </c>
      <c r="H47" s="1" t="s">
        <v>510</v>
      </c>
      <c r="I47" s="1"/>
      <c r="K47">
        <v>120666</v>
      </c>
      <c r="L47" s="2" t="str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47" s="3">
        <f>IF(Table127163137496173[[#This Row],[run 1 times]]="",999.99,IF(Table127163137496173[[#This Row],[run 1 times]]=$S$3,0,MAX(0,ROUND(((Table127163137496173[[#This Row],[run 1 times]]-$S$3)/$S$3)*$T$6,2))))</f>
        <v>999.99</v>
      </c>
      <c r="N47" s="2" t="str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47" s="3">
        <f>IF(Table127163137496173[[#This Row],[run2 times]]="",999.99,IF(Table127163137496173[[#This Row],[run2 times]]=$T$3,0,MAX(0,ROUND(((Table127163137496173[[#This Row],[run2 times]]-$T$3)/$T$3)*$T$6,2))))</f>
        <v>999.99</v>
      </c>
      <c r="P47" s="2" t="str">
        <f>IF(OR(Table127163137496173[[#This Row],[run 1 times]]="",Table127163137496173[[#This Row],[run2 times]]=""),"",Table127163137496173[[#This Row],[run 1 times]]+Table127163137496173[[#This Row],[run2 times]])</f>
        <v/>
      </c>
      <c r="Q47" s="3">
        <f>IF(Table127163137496173[[#This Row],[total time]]="",999.99,IF(Table127163137496173[[#This Row],[total time]]=$U$3,0,MAX(0,ROUND(((Table127163137496173[[#This Row],[total time]]-$U$3)/$U$3)*$T$6,2))))</f>
        <v>999.99</v>
      </c>
    </row>
    <row r="48" spans="1:39" x14ac:dyDescent="0.3">
      <c r="A48">
        <v>23</v>
      </c>
      <c r="B48">
        <v>78</v>
      </c>
      <c r="C48" t="s">
        <v>851</v>
      </c>
      <c r="D48" t="s">
        <v>522</v>
      </c>
      <c r="E48" t="s">
        <v>895</v>
      </c>
      <c r="F48">
        <v>2012</v>
      </c>
      <c r="G48" s="1" t="s">
        <v>510</v>
      </c>
      <c r="H48" s="1" t="s">
        <v>510</v>
      </c>
      <c r="I48" s="1"/>
      <c r="K48">
        <v>7104913</v>
      </c>
      <c r="L48" s="2" t="str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48" s="3">
        <f>IF(Table127163137496173[[#This Row],[run 1 times]]="",999.99,IF(Table127163137496173[[#This Row],[run 1 times]]=$S$3,0,MAX(0,ROUND(((Table127163137496173[[#This Row],[run 1 times]]-$S$3)/$S$3)*$T$6,2))))</f>
        <v>999.99</v>
      </c>
      <c r="N48" s="2" t="str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48" s="3">
        <f>IF(Table127163137496173[[#This Row],[run2 times]]="",999.99,IF(Table127163137496173[[#This Row],[run2 times]]=$T$3,0,MAX(0,ROUND(((Table127163137496173[[#This Row],[run2 times]]-$T$3)/$T$3)*$T$6,2))))</f>
        <v>999.99</v>
      </c>
      <c r="P48" s="2" t="str">
        <f>IF(OR(Table127163137496173[[#This Row],[run 1 times]]="",Table127163137496173[[#This Row],[run2 times]]=""),"",Table127163137496173[[#This Row],[run 1 times]]+Table127163137496173[[#This Row],[run2 times]])</f>
        <v/>
      </c>
      <c r="Q48" s="3">
        <f>IF(Table127163137496173[[#This Row],[total time]]="",999.99,IF(Table127163137496173[[#This Row],[total time]]=$U$3,0,MAX(0,ROUND(((Table127163137496173[[#This Row],[total time]]-$U$3)/$U$3)*$T$6,2))))</f>
        <v>999.99</v>
      </c>
    </row>
    <row r="49" spans="1:17" x14ac:dyDescent="0.3">
      <c r="A49">
        <v>27</v>
      </c>
      <c r="B49">
        <v>82</v>
      </c>
      <c r="C49" t="s">
        <v>487</v>
      </c>
      <c r="D49" t="s">
        <v>480</v>
      </c>
      <c r="E49" t="s">
        <v>701</v>
      </c>
      <c r="F49">
        <v>2015</v>
      </c>
      <c r="G49" s="1" t="s">
        <v>510</v>
      </c>
      <c r="H49" s="1" t="s">
        <v>510</v>
      </c>
      <c r="I49" s="1"/>
      <c r="K49">
        <v>122281</v>
      </c>
      <c r="L49" s="2" t="str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49" s="3">
        <f>IF(Table127163137496173[[#This Row],[run 1 times]]="",999.99,IF(Table127163137496173[[#This Row],[run 1 times]]=$S$3,0,MAX(0,ROUND(((Table127163137496173[[#This Row],[run 1 times]]-$S$3)/$S$3)*$T$6,2))))</f>
        <v>999.99</v>
      </c>
      <c r="N49" s="2" t="str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49" s="3">
        <f>IF(Table127163137496173[[#This Row],[run2 times]]="",999.99,IF(Table127163137496173[[#This Row],[run2 times]]=$T$3,0,MAX(0,ROUND(((Table127163137496173[[#This Row],[run2 times]]-$T$3)/$T$3)*$T$6,2))))</f>
        <v>999.99</v>
      </c>
      <c r="P49" s="2" t="str">
        <f>IF(OR(Table127163137496173[[#This Row],[run 1 times]]="",Table127163137496173[[#This Row],[run2 times]]=""),"",Table127163137496173[[#This Row],[run 1 times]]+Table127163137496173[[#This Row],[run2 times]])</f>
        <v/>
      </c>
      <c r="Q49" s="3">
        <f>IF(Table127163137496173[[#This Row],[total time]]="",999.99,IF(Table127163137496173[[#This Row],[total time]]=$U$3,0,MAX(0,ROUND(((Table127163137496173[[#This Row],[total time]]-$U$3)/$U$3)*$T$6,2))))</f>
        <v>999.99</v>
      </c>
    </row>
    <row r="50" spans="1:17" x14ac:dyDescent="0.3">
      <c r="A50">
        <v>30</v>
      </c>
      <c r="B50">
        <v>85</v>
      </c>
      <c r="C50" t="s">
        <v>851</v>
      </c>
      <c r="D50" t="s">
        <v>522</v>
      </c>
      <c r="E50" t="s">
        <v>884</v>
      </c>
      <c r="F50">
        <v>2012</v>
      </c>
      <c r="G50" s="1" t="s">
        <v>510</v>
      </c>
      <c r="H50" s="1" t="s">
        <v>510</v>
      </c>
      <c r="I50" s="1"/>
      <c r="K50">
        <v>7033184</v>
      </c>
      <c r="L50" s="2" t="str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50" s="3">
        <f>IF(Table127163137496173[[#This Row],[run 1 times]]="",999.99,IF(Table127163137496173[[#This Row],[run 1 times]]=$S$3,0,MAX(0,ROUND(((Table127163137496173[[#This Row],[run 1 times]]-$S$3)/$S$3)*$T$6,2))))</f>
        <v>999.99</v>
      </c>
      <c r="N50" s="2" t="str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50" s="3">
        <f>IF(Table127163137496173[[#This Row],[run2 times]]="",999.99,IF(Table127163137496173[[#This Row],[run2 times]]=$T$3,0,MAX(0,ROUND(((Table127163137496173[[#This Row],[run2 times]]-$T$3)/$T$3)*$T$6,2))))</f>
        <v>999.99</v>
      </c>
      <c r="P50" s="2" t="str">
        <f>IF(OR(Table127163137496173[[#This Row],[run 1 times]]="",Table127163137496173[[#This Row],[run2 times]]=""),"",Table127163137496173[[#This Row],[run 1 times]]+Table127163137496173[[#This Row],[run2 times]])</f>
        <v/>
      </c>
      <c r="Q50" s="3">
        <f>IF(Table127163137496173[[#This Row],[total time]]="",999.99,IF(Table127163137496173[[#This Row],[total time]]=$U$3,0,MAX(0,ROUND(((Table127163137496173[[#This Row],[total time]]-$U$3)/$U$3)*$T$6,2))))</f>
        <v>999.99</v>
      </c>
    </row>
    <row r="51" spans="1:17" x14ac:dyDescent="0.3">
      <c r="A51">
        <v>42</v>
      </c>
      <c r="B51">
        <v>97</v>
      </c>
      <c r="C51" t="s">
        <v>487</v>
      </c>
      <c r="D51" t="s">
        <v>480</v>
      </c>
      <c r="E51" t="s">
        <v>896</v>
      </c>
      <c r="F51">
        <v>2014</v>
      </c>
      <c r="G51" s="1" t="s">
        <v>510</v>
      </c>
      <c r="H51" s="1" t="s">
        <v>510</v>
      </c>
      <c r="I51" s="1"/>
      <c r="K51">
        <v>121269</v>
      </c>
      <c r="L51" s="2" t="str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51" s="3">
        <f>IF(Table127163137496173[[#This Row],[run 1 times]]="",999.99,IF(Table127163137496173[[#This Row],[run 1 times]]=$S$3,0,MAX(0,ROUND(((Table127163137496173[[#This Row],[run 1 times]]-$S$3)/$S$3)*$T$6,2))))</f>
        <v>999.99</v>
      </c>
      <c r="N51" s="2" t="str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51" s="3">
        <f>IF(Table127163137496173[[#This Row],[run2 times]]="",999.99,IF(Table127163137496173[[#This Row],[run2 times]]=$T$3,0,MAX(0,ROUND(((Table127163137496173[[#This Row],[run2 times]]-$T$3)/$T$3)*$T$6,2))))</f>
        <v>999.99</v>
      </c>
      <c r="P51" s="2" t="str">
        <f>IF(OR(Table127163137496173[[#This Row],[run 1 times]]="",Table127163137496173[[#This Row],[run2 times]]=""),"",Table127163137496173[[#This Row],[run 1 times]]+Table127163137496173[[#This Row],[run2 times]])</f>
        <v/>
      </c>
      <c r="Q51" s="3">
        <f>IF(Table127163137496173[[#This Row],[total time]]="",999.99,IF(Table127163137496173[[#This Row],[total time]]=$U$3,0,MAX(0,ROUND(((Table127163137496173[[#This Row],[total time]]-$U$3)/$U$3)*$T$6,2))))</f>
        <v>999.99</v>
      </c>
    </row>
    <row r="52" spans="1:17" x14ac:dyDescent="0.3">
      <c r="A52">
        <v>47</v>
      </c>
      <c r="B52">
        <v>102</v>
      </c>
      <c r="C52" t="s">
        <v>851</v>
      </c>
      <c r="D52" t="s">
        <v>522</v>
      </c>
      <c r="E52" t="s">
        <v>890</v>
      </c>
      <c r="F52">
        <v>2012</v>
      </c>
      <c r="G52" s="1" t="s">
        <v>510</v>
      </c>
      <c r="H52" s="1" t="s">
        <v>510</v>
      </c>
      <c r="I52" s="1"/>
      <c r="K52">
        <v>7149154</v>
      </c>
      <c r="L52" s="2" t="str">
        <f>_xlfn.LET(_xlpm.x,Table127163137496173[[#This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52" s="3">
        <f>IF(Table127163137496173[[#This Row],[run 1 times]]="",999.99,IF(Table127163137496173[[#This Row],[run 1 times]]=$S$3,0,MAX(0,ROUND(((Table127163137496173[[#This Row],[run 1 times]]-$S$3)/$S$3)*$T$6,2))))</f>
        <v>999.99</v>
      </c>
      <c r="N52" s="2" t="str">
        <f>_xlfn.LET(_xlpm.x,Table127163137496173[[#This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52" s="3">
        <f>IF(Table127163137496173[[#This Row],[run2 times]]="",999.99,IF(Table127163137496173[[#This Row],[run2 times]]=$T$3,0,MAX(0,ROUND(((Table127163137496173[[#This Row],[run2 times]]-$T$3)/$T$3)*$T$6,2))))</f>
        <v>999.99</v>
      </c>
      <c r="P52" s="2" t="str">
        <f>IF(OR(Table127163137496173[[#This Row],[run 1 times]]="",Table127163137496173[[#This Row],[run2 times]]=""),"",Table127163137496173[[#This Row],[run 1 times]]+Table127163137496173[[#This Row],[run2 times]])</f>
        <v/>
      </c>
      <c r="Q52" s="3">
        <f>IF(Table127163137496173[[#This Row],[total time]]="",999.99,IF(Table127163137496173[[#This Row],[total time]]=$U$3,0,MAX(0,ROUND(((Table127163137496173[[#This Row],[total time]]-$U$3)/$U$3)*$T$6,2))))</f>
        <v>999.99</v>
      </c>
    </row>
  </sheetData>
  <mergeCells count="2">
    <mergeCell ref="A1:U1"/>
    <mergeCell ref="W1:AQ1"/>
  </mergeCells>
  <pageMargins left="0.7" right="0.7" top="0.75" bottom="0.75" header="0.3" footer="0.3"/>
  <tableParts count="6">
    <tablePart r:id="rId1"/>
    <tablePart r:id="rId2"/>
    <tablePart r:id="rId3"/>
    <tablePart r:id="rId4"/>
    <tablePart r:id="rId5"/>
    <tablePart r:id="rId6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370F29-35A1-44BF-B4DE-5950269C7F6F}">
  <dimension ref="A1:AQ54"/>
  <sheetViews>
    <sheetView workbookViewId="0">
      <selection activeCell="A3" sqref="A3:K54"/>
    </sheetView>
  </sheetViews>
  <sheetFormatPr defaultRowHeight="14.4" x14ac:dyDescent="0.3"/>
  <cols>
    <col min="1" max="1" width="13.5546875" customWidth="1"/>
    <col min="3" max="3" width="12.109375" customWidth="1"/>
    <col min="5" max="5" width="14.88671875" bestFit="1" customWidth="1"/>
    <col min="6" max="6" width="12.5546875" customWidth="1"/>
    <col min="7" max="7" width="15.21875" customWidth="1"/>
    <col min="8" max="8" width="17.6640625" customWidth="1"/>
    <col min="9" max="9" width="16.44140625" customWidth="1"/>
    <col min="10" max="10" width="12.21875" customWidth="1"/>
    <col min="11" max="11" width="13.109375" customWidth="1"/>
    <col min="12" max="12" width="11.6640625" customWidth="1"/>
    <col min="13" max="13" width="12.109375" customWidth="1"/>
    <col min="14" max="14" width="11.33203125" customWidth="1"/>
    <col min="15" max="15" width="12.109375" customWidth="1"/>
    <col min="16" max="16" width="10.33203125" customWidth="1"/>
    <col min="17" max="17" width="13.88671875" customWidth="1"/>
    <col min="19" max="19" width="14.5546875" customWidth="1"/>
    <col min="20" max="20" width="15.5546875" customWidth="1"/>
    <col min="21" max="21" width="18.5546875" customWidth="1"/>
  </cols>
  <sheetData>
    <row r="1" spans="1:43" ht="21" x14ac:dyDescent="0.4">
      <c r="A1" s="8" t="s">
        <v>596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W1" s="8" t="s">
        <v>595</v>
      </c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</row>
    <row r="2" spans="1:43" x14ac:dyDescent="0.3">
      <c r="A2" t="s">
        <v>459</v>
      </c>
      <c r="B2" t="s">
        <v>460</v>
      </c>
      <c r="C2" t="s">
        <v>461</v>
      </c>
      <c r="D2" t="s">
        <v>462</v>
      </c>
      <c r="E2" t="s">
        <v>463</v>
      </c>
      <c r="F2" t="s">
        <v>464</v>
      </c>
      <c r="G2" t="s">
        <v>465</v>
      </c>
      <c r="H2" t="s">
        <v>466</v>
      </c>
      <c r="I2" t="s">
        <v>467</v>
      </c>
      <c r="J2" t="s">
        <v>468</v>
      </c>
      <c r="K2" t="s">
        <v>469</v>
      </c>
      <c r="L2" t="s">
        <v>470</v>
      </c>
      <c r="M2" t="s">
        <v>471</v>
      </c>
      <c r="N2" t="s">
        <v>472</v>
      </c>
      <c r="O2" t="s">
        <v>473</v>
      </c>
      <c r="P2" t="s">
        <v>474</v>
      </c>
      <c r="Q2" t="s">
        <v>475</v>
      </c>
      <c r="S2" t="s">
        <v>476</v>
      </c>
      <c r="T2" t="s">
        <v>477</v>
      </c>
      <c r="U2" t="s">
        <v>478</v>
      </c>
      <c r="W2" t="s">
        <v>459</v>
      </c>
      <c r="X2" t="s">
        <v>460</v>
      </c>
      <c r="Y2" t="s">
        <v>461</v>
      </c>
      <c r="Z2" t="s">
        <v>462</v>
      </c>
      <c r="AA2" t="s">
        <v>463</v>
      </c>
      <c r="AB2" t="s">
        <v>464</v>
      </c>
      <c r="AC2" t="s">
        <v>465</v>
      </c>
      <c r="AD2" t="s">
        <v>466</v>
      </c>
      <c r="AE2" t="s">
        <v>467</v>
      </c>
      <c r="AF2" t="s">
        <v>468</v>
      </c>
      <c r="AG2" t="s">
        <v>469</v>
      </c>
      <c r="AH2" t="s">
        <v>470</v>
      </c>
      <c r="AI2" t="s">
        <v>471</v>
      </c>
      <c r="AJ2" t="s">
        <v>472</v>
      </c>
      <c r="AK2" t="s">
        <v>473</v>
      </c>
      <c r="AL2" t="s">
        <v>474</v>
      </c>
      <c r="AM2" t="s">
        <v>475</v>
      </c>
      <c r="AO2" t="s">
        <v>476</v>
      </c>
      <c r="AP2" t="s">
        <v>477</v>
      </c>
      <c r="AQ2" t="s">
        <v>478</v>
      </c>
    </row>
    <row r="3" spans="1:43" x14ac:dyDescent="0.3">
      <c r="A3">
        <v>24</v>
      </c>
      <c r="B3">
        <v>3</v>
      </c>
      <c r="C3" t="s">
        <v>479</v>
      </c>
      <c r="D3" t="s">
        <v>522</v>
      </c>
      <c r="E3" t="s">
        <v>541</v>
      </c>
      <c r="F3">
        <v>2013</v>
      </c>
      <c r="G3" s="1">
        <v>8.8321759259259267E-4</v>
      </c>
      <c r="H3" s="1" t="s">
        <v>518</v>
      </c>
      <c r="I3" s="1"/>
      <c r="K3">
        <v>103278</v>
      </c>
      <c r="L3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8.8321759259259267E-4</v>
      </c>
      <c r="M3" s="3">
        <f>IF(Table127163143556797[[#This Row],[run 1 times]]="",999.99,IF(Table127163143556797[[#This Row],[run 1 times]]=$S$3,0,MAX(0,ROUND(((Table127163143556797[[#This Row],[run 1 times]]-$S$3)/$S$3)*$T$6,2))))</f>
        <v>228.52</v>
      </c>
      <c r="N3" s="2" t="str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3" s="3">
        <f>IF(Table127163143556797[[#This Row],[run2 times]]="",999.99,IF(Table127163143556797[[#This Row],[run2 times]]=$T$3,0,MAX(0,ROUND(((Table127163143556797[[#This Row],[run2 times]]-$T$3)/$T$3)*$T$6,2))))</f>
        <v>999.99</v>
      </c>
      <c r="P3" s="2" t="str">
        <f>IF(OR(Table127163143556797[[#This Row],[run 1 times]]="",Table127163143556797[[#This Row],[run2 times]]=""),"",Table127163143556797[[#This Row],[run 1 times]]+Table127163143556797[[#This Row],[run2 times]])</f>
        <v/>
      </c>
      <c r="Q3" s="3">
        <f>IF(Table127163143556797[[#This Row],[total time]]="",999.99,IF(Table127163143556797[[#This Row],[total time]]=$U$3,0,MAX(0,ROUND(((Table127163143556797[[#This Row],[total time]]-$U$3)/$U$3)*$T$6,2))))</f>
        <v>999.99</v>
      </c>
      <c r="S3" s="1">
        <f>MIN(Table127163143556797[run 1 times])</f>
        <v>7.2025462962962961E-4</v>
      </c>
      <c r="T3" s="1">
        <f>MIN(Table127163143556797[run2 times])</f>
        <v>7.9479166666666674E-4</v>
      </c>
      <c r="U3" s="1">
        <f>MIN(Table127163143556797[total time])</f>
        <v>1.5150462962962965E-3</v>
      </c>
      <c r="W3">
        <v>18</v>
      </c>
      <c r="X3">
        <v>106</v>
      </c>
      <c r="Y3" t="s">
        <v>826</v>
      </c>
      <c r="Z3" t="s">
        <v>547</v>
      </c>
      <c r="AA3" t="s">
        <v>827</v>
      </c>
      <c r="AB3">
        <v>2010</v>
      </c>
      <c r="AC3" s="1">
        <v>56.27</v>
      </c>
      <c r="AD3" s="1">
        <v>55.85</v>
      </c>
      <c r="AE3" s="1">
        <v>1.2976851851851851E-3</v>
      </c>
      <c r="AG3">
        <v>88769</v>
      </c>
      <c r="AH3" s="2">
        <f>_xlfn.LET(_xlpm.x,Table1221101934465870100[[#This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6.5127314814814822E-4</v>
      </c>
      <c r="AI3" s="3">
        <f>IF(Table1221101934465870100[[#This Row],[run 1 times]]="",999.99,IF(Table1221101934465870100[[#This Row],[run 1 times]]=$AO$3,0,MAX(0,ROUND(((Table1221101934465870100[[#This Row],[run 1 times]]-$AO$3)/$AO$3)*$AO$6,2))))</f>
        <v>48.42</v>
      </c>
      <c r="AJ3" s="2">
        <f>_xlfn.LET(_xlpm.x,Table1221101934465870100[[#This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6.4641203703703703E-4</v>
      </c>
      <c r="AK3" s="3">
        <f>IF(Table1221101934465870100[[#This Row],[run2 times]]="",999.99,IF(Table1221101934465870100[[#This Row],[run2 times]]=$AP$3,0,MAX(0,ROUND(((Table1221101934465870100[[#This Row],[run2 times]]-$AP$3)/$AP$3)*$AO$6,2))))</f>
        <v>39.840000000000003</v>
      </c>
      <c r="AL3" s="2">
        <f>IF(OR(Table1221101934465870100[[#This Row],[run 1 times]]="",Table1221101934465870100[[#This Row],[run2 times]]=""),"",Table1221101934465870100[[#This Row],[run 1 times]]+Table1221101934465870100[[#This Row],[run2 times]])</f>
        <v>1.2976851851851851E-3</v>
      </c>
      <c r="AM3" s="3">
        <f>IF(Table1221101934465870100[[#This Row],[total time]]="",999.99,IF(Table1221101934465870100[[#This Row],[total time]]=$AQ$3,0,MAX(0,ROUND(((Table1221101934465870100[[#This Row],[total time]]-$AQ$3)/$AQ$3)*$AO$6,2))))</f>
        <v>43.83</v>
      </c>
      <c r="AO3" s="1">
        <f>MIN(Table1221101934465870100[run 1 times])</f>
        <v>6.1076388888888888E-4</v>
      </c>
      <c r="AP3" s="1">
        <f>MIN(Table1221101934465870100[run2 times])</f>
        <v>6.1296296296296294E-4</v>
      </c>
      <c r="AQ3" s="1">
        <f>MIN(Table1221101934465870100[total time])</f>
        <v>1.2241898148148147E-3</v>
      </c>
    </row>
    <row r="4" spans="1:43" x14ac:dyDescent="0.3">
      <c r="A4">
        <v>21</v>
      </c>
      <c r="B4">
        <v>6</v>
      </c>
      <c r="C4" t="s">
        <v>373</v>
      </c>
      <c r="D4" t="s">
        <v>480</v>
      </c>
      <c r="E4" t="s">
        <v>502</v>
      </c>
      <c r="F4">
        <v>2014</v>
      </c>
      <c r="G4" s="1">
        <v>9.6400462962962954E-4</v>
      </c>
      <c r="H4" s="1" t="s">
        <v>518</v>
      </c>
      <c r="I4" s="1"/>
      <c r="K4">
        <v>122059</v>
      </c>
      <c r="L4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9.6400462962962954E-4</v>
      </c>
      <c r="M4" s="3">
        <f>IF(Table127163143556797[[#This Row],[run 1 times]]="",999.99,IF(Table127163143556797[[#This Row],[run 1 times]]=$S$3,0,MAX(0,ROUND(((Table127163143556797[[#This Row],[run 1 times]]-$S$3)/$S$3)*$T$6,2))))</f>
        <v>341.81</v>
      </c>
      <c r="N4" s="2" t="str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4" s="3">
        <f>IF(Table127163143556797[[#This Row],[run2 times]]="",999.99,IF(Table127163143556797[[#This Row],[run2 times]]=$T$3,0,MAX(0,ROUND(((Table127163143556797[[#This Row],[run2 times]]-$T$3)/$T$3)*$T$6,2))))</f>
        <v>999.99</v>
      </c>
      <c r="P4" s="2" t="str">
        <f>IF(OR(Table127163143556797[[#This Row],[run 1 times]]="",Table127163143556797[[#This Row],[run2 times]]=""),"",Table127163143556797[[#This Row],[run 1 times]]+Table127163143556797[[#This Row],[run2 times]])</f>
        <v/>
      </c>
      <c r="Q4" s="3">
        <f>IF(Table127163143556797[[#This Row],[total time]]="",999.99,IF(Table127163143556797[[#This Row],[total time]]=$U$3,0,MAX(0,ROUND(((Table127163143556797[[#This Row],[total time]]-$U$3)/$U$3)*$T$6,2))))</f>
        <v>999.99</v>
      </c>
      <c r="W4">
        <v>16</v>
      </c>
      <c r="X4">
        <v>108</v>
      </c>
      <c r="Y4" t="s">
        <v>257</v>
      </c>
      <c r="Z4" t="s">
        <v>547</v>
      </c>
      <c r="AA4" t="s">
        <v>578</v>
      </c>
      <c r="AB4">
        <v>2010</v>
      </c>
      <c r="AC4" s="1">
        <v>7.9004629629629639E-4</v>
      </c>
      <c r="AD4" s="1">
        <v>8.437500000000001E-4</v>
      </c>
      <c r="AE4" s="1">
        <v>1.6337962962962962E-3</v>
      </c>
      <c r="AG4">
        <v>121966</v>
      </c>
      <c r="AH4" s="2">
        <f>_xlfn.LET(_xlpm.x,Table1221101934465870100[[#This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7.9004629629629639E-4</v>
      </c>
      <c r="AI4" s="3">
        <f>IF(Table1221101934465870100[[#This Row],[run 1 times]]="",999.99,IF(Table1221101934465870100[[#This Row],[run 1 times]]=$AO$3,0,MAX(0,ROUND(((Table1221101934465870100[[#This Row],[run 1 times]]-$AO$3)/$AO$3)*$AO$6,2))))</f>
        <v>214.28</v>
      </c>
      <c r="AJ4" s="2">
        <f>_xlfn.LET(_xlpm.x,Table1221101934465870100[[#This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8.437500000000001E-4</v>
      </c>
      <c r="AK4" s="3">
        <f>IF(Table1221101934465870100[[#This Row],[run2 times]]="",999.99,IF(Table1221101934465870100[[#This Row],[run2 times]]=$AP$3,0,MAX(0,ROUND(((Table1221101934465870100[[#This Row],[run2 times]]-$AP$3)/$AP$3)*$AO$6,2))))</f>
        <v>274.85000000000002</v>
      </c>
      <c r="AL4" s="2">
        <f>IF(OR(Table1221101934465870100[[#This Row],[run 1 times]]="",Table1221101934465870100[[#This Row],[run2 times]]=""),"",Table1221101934465870100[[#This Row],[run 1 times]]+Table1221101934465870100[[#This Row],[run2 times]])</f>
        <v>1.6337962962962964E-3</v>
      </c>
      <c r="AM4" s="3">
        <f>IF(Table1221101934465870100[[#This Row],[total time]]="",999.99,IF(Table1221101934465870100[[#This Row],[total time]]=$AQ$3,0,MAX(0,ROUND(((Table1221101934465870100[[#This Row],[total time]]-$AQ$3)/$AQ$3)*$AO$6,2))))</f>
        <v>244.25</v>
      </c>
    </row>
    <row r="5" spans="1:43" x14ac:dyDescent="0.3">
      <c r="A5">
        <v>18</v>
      </c>
      <c r="B5">
        <v>9</v>
      </c>
      <c r="C5" t="s">
        <v>851</v>
      </c>
      <c r="D5" t="s">
        <v>522</v>
      </c>
      <c r="E5" t="s">
        <v>852</v>
      </c>
      <c r="F5">
        <v>2012</v>
      </c>
      <c r="G5" s="1">
        <v>8.408564814814816E-4</v>
      </c>
      <c r="H5" s="1" t="s">
        <v>512</v>
      </c>
      <c r="I5" s="1"/>
      <c r="K5">
        <v>6962203</v>
      </c>
      <c r="L5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8.408564814814816E-4</v>
      </c>
      <c r="M5" s="3">
        <f>IF(Table127163143556797[[#This Row],[run 1 times]]="",999.99,IF(Table127163143556797[[#This Row],[run 1 times]]=$S$3,0,MAX(0,ROUND(((Table127163143556797[[#This Row],[run 1 times]]-$S$3)/$S$3)*$T$6,2))))</f>
        <v>169.12</v>
      </c>
      <c r="N5" s="2" t="str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5" s="3">
        <f>IF(Table127163143556797[[#This Row],[run2 times]]="",999.99,IF(Table127163143556797[[#This Row],[run2 times]]=$T$3,0,MAX(0,ROUND(((Table127163143556797[[#This Row],[run2 times]]-$T$3)/$T$3)*$T$6,2))))</f>
        <v>999.99</v>
      </c>
      <c r="P5" s="2" t="str">
        <f>IF(OR(Table127163143556797[[#This Row],[run 1 times]]="",Table127163143556797[[#This Row],[run2 times]]=""),"",Table127163143556797[[#This Row],[run 1 times]]+Table127163143556797[[#This Row],[run2 times]])</f>
        <v/>
      </c>
      <c r="Q5" s="3">
        <f>IF(Table127163143556797[[#This Row],[total time]]="",999.99,IF(Table127163143556797[[#This Row],[total time]]=$U$3,0,MAX(0,ROUND(((Table127163143556797[[#This Row],[total time]]-$U$3)/$U$3)*$T$6,2))))</f>
        <v>999.99</v>
      </c>
      <c r="S5" t="s">
        <v>484</v>
      </c>
      <c r="T5" t="s">
        <v>485</v>
      </c>
      <c r="U5" t="s">
        <v>486</v>
      </c>
      <c r="W5">
        <v>15</v>
      </c>
      <c r="X5">
        <v>109</v>
      </c>
      <c r="Y5" t="s">
        <v>826</v>
      </c>
      <c r="Z5" t="s">
        <v>547</v>
      </c>
      <c r="AA5" t="s">
        <v>828</v>
      </c>
      <c r="AB5">
        <v>2011</v>
      </c>
      <c r="AC5" s="1">
        <v>7.8634259259259261E-4</v>
      </c>
      <c r="AD5" s="1">
        <v>7.9560185185185181E-4</v>
      </c>
      <c r="AE5" s="1">
        <v>1.5819444444444446E-3</v>
      </c>
      <c r="AG5">
        <v>110582</v>
      </c>
      <c r="AH5" s="2">
        <f>_xlfn.LET(_xlpm.x,Table1221101934465870100[[#This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7.8634259259259261E-4</v>
      </c>
      <c r="AI5" s="3">
        <f>IF(Table1221101934465870100[[#This Row],[run 1 times]]="",999.99,IF(Table1221101934465870100[[#This Row],[run 1 times]]=$AO$3,0,MAX(0,ROUND(((Table1221101934465870100[[#This Row],[run 1 times]]-$AO$3)/$AO$3)*$AO$6,2))))</f>
        <v>209.86</v>
      </c>
      <c r="AJ5" s="2">
        <f>_xlfn.LET(_xlpm.x,Table1221101934465870100[[#This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7.9560185185185181E-4</v>
      </c>
      <c r="AK5" s="3">
        <f>IF(Table1221101934465870100[[#This Row],[run2 times]]="",999.99,IF(Table1221101934465870100[[#This Row],[run2 times]]=$AP$3,0,MAX(0,ROUND(((Table1221101934465870100[[#This Row],[run2 times]]-$AP$3)/$AP$3)*$AO$6,2))))</f>
        <v>217.51</v>
      </c>
      <c r="AL5" s="2">
        <f>IF(OR(Table1221101934465870100[[#This Row],[run 1 times]]="",Table1221101934465870100[[#This Row],[run2 times]]=""),"",Table1221101934465870100[[#This Row],[run 1 times]]+Table1221101934465870100[[#This Row],[run2 times]])</f>
        <v>1.5819444444444444E-3</v>
      </c>
      <c r="AM5" s="3">
        <f>IF(Table1221101934465870100[[#This Row],[total time]]="",999.99,IF(Table1221101934465870100[[#This Row],[total time]]=$AQ$3,0,MAX(0,ROUND(((Table1221101934465870100[[#This Row],[total time]]-$AQ$3)/$AQ$3)*$AO$6,2))))</f>
        <v>213.33</v>
      </c>
      <c r="AO5" t="s">
        <v>484</v>
      </c>
      <c r="AP5" t="s">
        <v>485</v>
      </c>
      <c r="AQ5" t="s">
        <v>486</v>
      </c>
    </row>
    <row r="6" spans="1:43" x14ac:dyDescent="0.3">
      <c r="A6">
        <v>26</v>
      </c>
      <c r="B6">
        <v>1</v>
      </c>
      <c r="C6" t="s">
        <v>373</v>
      </c>
      <c r="D6" t="s">
        <v>480</v>
      </c>
      <c r="E6" t="s">
        <v>503</v>
      </c>
      <c r="F6">
        <v>2014</v>
      </c>
      <c r="G6" s="1">
        <v>1.0412037037037037E-3</v>
      </c>
      <c r="H6" s="1">
        <v>1.1344907407407408E-3</v>
      </c>
      <c r="I6" s="1">
        <v>2.1756944444444445E-3</v>
      </c>
      <c r="K6">
        <v>112386</v>
      </c>
      <c r="L6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1.0412037037037037E-3</v>
      </c>
      <c r="M6" s="3">
        <f>IF(Table127163143556797[[#This Row],[run 1 times]]="",999.99,IF(Table127163143556797[[#This Row],[run 1 times]]=$S$3,0,MAX(0,ROUND(((Table127163143556797[[#This Row],[run 1 times]]-$S$3)/$S$3)*$T$6,2))))</f>
        <v>450.06</v>
      </c>
      <c r="N6" s="2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1.1344907407407408E-3</v>
      </c>
      <c r="O6" s="3">
        <f>IF(Table127163143556797[[#This Row],[run2 times]]="",999.99,IF(Table127163143556797[[#This Row],[run2 times]]=$T$3,0,MAX(0,ROUND(((Table127163143556797[[#This Row],[run2 times]]-$T$3)/$T$3)*$T$6,2))))</f>
        <v>431.68</v>
      </c>
      <c r="P6" s="2">
        <f>IF(OR(Table127163143556797[[#This Row],[run 1 times]]="",Table127163143556797[[#This Row],[run2 times]]=""),"",Table127163143556797[[#This Row],[run 1 times]]+Table127163143556797[[#This Row],[run2 times]])</f>
        <v>2.1756944444444445E-3</v>
      </c>
      <c r="Q6" s="3">
        <f>IF(Table127163143556797[[#This Row],[total time]]="",999.99,IF(Table127163143556797[[#This Row],[total time]]=$U$3,0,MAX(0,ROUND(((Table127163143556797[[#This Row],[total time]]-$U$3)/$U$3)*$T$6,2))))</f>
        <v>440.42</v>
      </c>
      <c r="S6">
        <v>730</v>
      </c>
      <c r="T6">
        <v>1010</v>
      </c>
      <c r="U6">
        <v>1190</v>
      </c>
      <c r="W6">
        <v>14</v>
      </c>
      <c r="X6">
        <v>110</v>
      </c>
      <c r="Y6" t="s">
        <v>373</v>
      </c>
      <c r="Z6" t="s">
        <v>547</v>
      </c>
      <c r="AA6" t="s">
        <v>548</v>
      </c>
      <c r="AB6">
        <v>2011</v>
      </c>
      <c r="AC6" s="1">
        <v>6.9780092592592593E-4</v>
      </c>
      <c r="AD6" s="1">
        <v>7.3368055555555556E-4</v>
      </c>
      <c r="AE6" s="1">
        <v>1.4314814814814815E-3</v>
      </c>
      <c r="AG6">
        <v>94824</v>
      </c>
      <c r="AH6" s="2">
        <f>_xlfn.LET(_xlpm.x,Table1221101934465870100[[#This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6.9780092592592593E-4</v>
      </c>
      <c r="AI6" s="3">
        <f>IF(Table1221101934465870100[[#This Row],[run 1 times]]="",999.99,IF(Table1221101934465870100[[#This Row],[run 1 times]]=$AO$3,0,MAX(0,ROUND(((Table1221101934465870100[[#This Row],[run 1 times]]-$AO$3)/$AO$3)*$AO$6,2))))</f>
        <v>104.03</v>
      </c>
      <c r="AJ6" s="2">
        <f>_xlfn.LET(_xlpm.x,Table1221101934465870100[[#This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7.3368055555555556E-4</v>
      </c>
      <c r="AK6" s="3">
        <f>IF(Table1221101934465870100[[#This Row],[run2 times]]="",999.99,IF(Table1221101934465870100[[#This Row],[run2 times]]=$AP$3,0,MAX(0,ROUND(((Table1221101934465870100[[#This Row],[run2 times]]-$AP$3)/$AP$3)*$AO$6,2))))</f>
        <v>143.77000000000001</v>
      </c>
      <c r="AL6" s="2">
        <f>IF(OR(Table1221101934465870100[[#This Row],[run 1 times]]="",Table1221101934465870100[[#This Row],[run2 times]]=""),"",Table1221101934465870100[[#This Row],[run 1 times]]+Table1221101934465870100[[#This Row],[run2 times]])</f>
        <v>1.4314814814814815E-3</v>
      </c>
      <c r="AM6" s="3">
        <f>IF(Table1221101934465870100[[#This Row],[total time]]="",999.99,IF(Table1221101934465870100[[#This Row],[total time]]=$AQ$3,0,MAX(0,ROUND(((Table1221101934465870100[[#This Row],[total time]]-$AQ$3)/$AQ$3)*$AO$6,2))))</f>
        <v>123.61</v>
      </c>
      <c r="AO6">
        <v>730</v>
      </c>
      <c r="AP6">
        <v>1010</v>
      </c>
      <c r="AQ6">
        <v>1190</v>
      </c>
    </row>
    <row r="7" spans="1:43" x14ac:dyDescent="0.3">
      <c r="A7">
        <v>25</v>
      </c>
      <c r="B7">
        <v>2</v>
      </c>
      <c r="C7" t="s">
        <v>479</v>
      </c>
      <c r="D7" t="s">
        <v>522</v>
      </c>
      <c r="E7" t="s">
        <v>853</v>
      </c>
      <c r="F7">
        <v>2013</v>
      </c>
      <c r="G7" s="1">
        <v>8.8553240740740747E-4</v>
      </c>
      <c r="H7" s="1">
        <v>9.6979166666666655E-4</v>
      </c>
      <c r="I7" s="1">
        <v>1.8553240740740741E-3</v>
      </c>
      <c r="K7">
        <v>111694</v>
      </c>
      <c r="L7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8.8553240740740747E-4</v>
      </c>
      <c r="M7" s="3">
        <f>IF(Table127163143556797[[#This Row],[run 1 times]]="",999.99,IF(Table127163143556797[[#This Row],[run 1 times]]=$S$3,0,MAX(0,ROUND(((Table127163143556797[[#This Row],[run 1 times]]-$S$3)/$S$3)*$T$6,2))))</f>
        <v>231.77</v>
      </c>
      <c r="N7" s="2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9.6979166666666655E-4</v>
      </c>
      <c r="O7" s="3">
        <f>IF(Table127163143556797[[#This Row],[run2 times]]="",999.99,IF(Table127163143556797[[#This Row],[run2 times]]=$T$3,0,MAX(0,ROUND(((Table127163143556797[[#This Row],[run2 times]]-$T$3)/$T$3)*$T$6,2))))</f>
        <v>222.39</v>
      </c>
      <c r="P7" s="2">
        <f>IF(OR(Table127163143556797[[#This Row],[run 1 times]]="",Table127163143556797[[#This Row],[run2 times]]=""),"",Table127163143556797[[#This Row],[run 1 times]]+Table127163143556797[[#This Row],[run2 times]])</f>
        <v>1.8553240740740739E-3</v>
      </c>
      <c r="Q7" s="3">
        <f>IF(Table127163143556797[[#This Row],[total time]]="",999.99,IF(Table127163143556797[[#This Row],[total time]]=$U$3,0,MAX(0,ROUND(((Table127163143556797[[#This Row],[total time]]-$U$3)/$U$3)*$T$6,2))))</f>
        <v>226.84</v>
      </c>
      <c r="W7">
        <v>13</v>
      </c>
      <c r="X7">
        <v>111</v>
      </c>
      <c r="Y7" t="s">
        <v>24</v>
      </c>
      <c r="Z7" t="s">
        <v>547</v>
      </c>
      <c r="AA7" t="s">
        <v>568</v>
      </c>
      <c r="AB7">
        <v>2010</v>
      </c>
      <c r="AC7" s="1">
        <v>57.57</v>
      </c>
      <c r="AD7" s="1">
        <v>59.95</v>
      </c>
      <c r="AE7" s="1">
        <v>1.3601851851851854E-3</v>
      </c>
      <c r="AG7">
        <v>104647</v>
      </c>
      <c r="AH7" s="2">
        <f>_xlfn.LET(_xlpm.x,Table1221101934465870100[[#This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6.6631944444444442E-4</v>
      </c>
      <c r="AI7" s="3">
        <f>IF(Table1221101934465870100[[#This Row],[run 1 times]]="",999.99,IF(Table1221101934465870100[[#This Row],[run 1 times]]=$AO$3,0,MAX(0,ROUND(((Table1221101934465870100[[#This Row],[run 1 times]]-$AO$3)/$AO$3)*$AO$6,2))))</f>
        <v>66.400000000000006</v>
      </c>
      <c r="AJ7" s="2">
        <f>_xlfn.LET(_xlpm.x,Table1221101934465870100[[#This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6.9386574074074077E-4</v>
      </c>
      <c r="AK7" s="3">
        <f>IF(Table1221101934465870100[[#This Row],[run2 times]]="",999.99,IF(Table1221101934465870100[[#This Row],[run2 times]]=$AP$3,0,MAX(0,ROUND(((Table1221101934465870100[[#This Row],[run2 times]]-$AP$3)/$AP$3)*$AO$6,2))))</f>
        <v>96.35</v>
      </c>
      <c r="AL7" s="2">
        <f>IF(OR(Table1221101934465870100[[#This Row],[run 1 times]]="",Table1221101934465870100[[#This Row],[run2 times]]=""),"",Table1221101934465870100[[#This Row],[run 1 times]]+Table1221101934465870100[[#This Row],[run2 times]])</f>
        <v>1.3601851851851852E-3</v>
      </c>
      <c r="AM7" s="3">
        <f>IF(Table1221101934465870100[[#This Row],[total time]]="",999.99,IF(Table1221101934465870100[[#This Row],[total time]]=$AQ$3,0,MAX(0,ROUND(((Table1221101934465870100[[#This Row],[total time]]-$AQ$3)/$AQ$3)*$AO$6,2))))</f>
        <v>81.099999999999994</v>
      </c>
    </row>
    <row r="8" spans="1:43" x14ac:dyDescent="0.3">
      <c r="A8">
        <v>23</v>
      </c>
      <c r="B8">
        <v>4</v>
      </c>
      <c r="C8" t="s">
        <v>479</v>
      </c>
      <c r="D8" t="s">
        <v>522</v>
      </c>
      <c r="E8" t="s">
        <v>540</v>
      </c>
      <c r="F8">
        <v>2013</v>
      </c>
      <c r="G8" s="1">
        <v>8.2997685185185193E-4</v>
      </c>
      <c r="H8" s="1">
        <v>8.9826388888888887E-4</v>
      </c>
      <c r="I8" s="1">
        <v>1.7282407407407407E-3</v>
      </c>
      <c r="K8">
        <v>101429</v>
      </c>
      <c r="L8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8.2997685185185193E-4</v>
      </c>
      <c r="M8" s="3">
        <f>IF(Table127163143556797[[#This Row],[run 1 times]]="",999.99,IF(Table127163143556797[[#This Row],[run 1 times]]=$S$3,0,MAX(0,ROUND(((Table127163143556797[[#This Row],[run 1 times]]-$S$3)/$S$3)*$T$6,2))))</f>
        <v>153.86000000000001</v>
      </c>
      <c r="N8" s="2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8.9826388888888887E-4</v>
      </c>
      <c r="O8" s="3">
        <f>IF(Table127163143556797[[#This Row],[run2 times]]="",999.99,IF(Table127163143556797[[#This Row],[run2 times]]=$T$3,0,MAX(0,ROUND(((Table127163143556797[[#This Row],[run2 times]]-$T$3)/$T$3)*$T$6,2))))</f>
        <v>131.49</v>
      </c>
      <c r="P8" s="2">
        <f>IF(OR(Table127163143556797[[#This Row],[run 1 times]]="",Table127163143556797[[#This Row],[run2 times]]=""),"",Table127163143556797[[#This Row],[run 1 times]]+Table127163143556797[[#This Row],[run2 times]])</f>
        <v>1.7282407407407407E-3</v>
      </c>
      <c r="Q8" s="3">
        <f>IF(Table127163143556797[[#This Row],[total time]]="",999.99,IF(Table127163143556797[[#This Row],[total time]]=$U$3,0,MAX(0,ROUND(((Table127163143556797[[#This Row],[total time]]-$U$3)/$U$3)*$T$6,2))))</f>
        <v>142.13</v>
      </c>
      <c r="W8">
        <v>12</v>
      </c>
      <c r="X8">
        <v>112</v>
      </c>
      <c r="Y8" t="s">
        <v>487</v>
      </c>
      <c r="Z8" t="s">
        <v>572</v>
      </c>
      <c r="AA8" t="s">
        <v>829</v>
      </c>
      <c r="AB8">
        <v>2009</v>
      </c>
      <c r="AC8" s="1">
        <v>59.29</v>
      </c>
      <c r="AD8" s="1">
        <v>7.0081018518518517E-4</v>
      </c>
      <c r="AE8" s="1">
        <v>1.3870370370370371E-3</v>
      </c>
      <c r="AG8">
        <v>107084</v>
      </c>
      <c r="AH8" s="2">
        <f>_xlfn.LET(_xlpm.x,Table1221101934465870100[[#This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6.8622685185185182E-4</v>
      </c>
      <c r="AI8" s="3">
        <f>IF(Table1221101934465870100[[#This Row],[run 1 times]]="",999.99,IF(Table1221101934465870100[[#This Row],[run 1 times]]=$AO$3,0,MAX(0,ROUND(((Table1221101934465870100[[#This Row],[run 1 times]]-$AO$3)/$AO$3)*$AO$6,2))))</f>
        <v>90.2</v>
      </c>
      <c r="AJ8" s="2">
        <f>_xlfn.LET(_xlpm.x,Table1221101934465870100[[#This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7.0081018518518517E-4</v>
      </c>
      <c r="AK8" s="3">
        <f>IF(Table1221101934465870100[[#This Row],[run2 times]]="",999.99,IF(Table1221101934465870100[[#This Row],[run2 times]]=$AP$3,0,MAX(0,ROUND(((Table1221101934465870100[[#This Row],[run2 times]]-$AP$3)/$AP$3)*$AO$6,2))))</f>
        <v>104.62</v>
      </c>
      <c r="AL8" s="2">
        <f>IF(OR(Table1221101934465870100[[#This Row],[run 1 times]]="",Table1221101934465870100[[#This Row],[run2 times]]=""),"",Table1221101934465870100[[#This Row],[run 1 times]]+Table1221101934465870100[[#This Row],[run2 times]])</f>
        <v>1.3870370370370369E-3</v>
      </c>
      <c r="AM8" s="3">
        <f>IF(Table1221101934465870100[[#This Row],[total time]]="",999.99,IF(Table1221101934465870100[[#This Row],[total time]]=$AQ$3,0,MAX(0,ROUND(((Table1221101934465870100[[#This Row],[total time]]-$AQ$3)/$AQ$3)*$AO$6,2))))</f>
        <v>97.11</v>
      </c>
    </row>
    <row r="9" spans="1:43" x14ac:dyDescent="0.3">
      <c r="A9">
        <v>22</v>
      </c>
      <c r="B9">
        <v>5</v>
      </c>
      <c r="C9" t="s">
        <v>479</v>
      </c>
      <c r="D9" t="s">
        <v>522</v>
      </c>
      <c r="E9" t="s">
        <v>854</v>
      </c>
      <c r="F9">
        <v>2012</v>
      </c>
      <c r="G9" s="1">
        <v>8.4699074074074082E-4</v>
      </c>
      <c r="H9" s="1">
        <v>9.3194444444444444E-4</v>
      </c>
      <c r="I9" s="1">
        <v>1.778935185185185E-3</v>
      </c>
      <c r="K9">
        <v>101423</v>
      </c>
      <c r="L9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8.4699074074074082E-4</v>
      </c>
      <c r="M9" s="3">
        <f>IF(Table127163143556797[[#This Row],[run 1 times]]="",999.99,IF(Table127163143556797[[#This Row],[run 1 times]]=$S$3,0,MAX(0,ROUND(((Table127163143556797[[#This Row],[run 1 times]]-$S$3)/$S$3)*$T$6,2))))</f>
        <v>177.72</v>
      </c>
      <c r="N9" s="2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9.3194444444444444E-4</v>
      </c>
      <c r="O9" s="3">
        <f>IF(Table127163143556797[[#This Row],[run2 times]]="",999.99,IF(Table127163143556797[[#This Row],[run2 times]]=$T$3,0,MAX(0,ROUND(((Table127163143556797[[#This Row],[run2 times]]-$T$3)/$T$3)*$T$6,2))))</f>
        <v>174.29</v>
      </c>
      <c r="P9" s="2">
        <f>IF(OR(Table127163143556797[[#This Row],[run 1 times]]="",Table127163143556797[[#This Row],[run2 times]]=""),"",Table127163143556797[[#This Row],[run 1 times]]+Table127163143556797[[#This Row],[run2 times]])</f>
        <v>1.7789351851851853E-3</v>
      </c>
      <c r="Q9" s="3">
        <f>IF(Table127163143556797[[#This Row],[total time]]="",999.99,IF(Table127163143556797[[#This Row],[total time]]=$U$3,0,MAX(0,ROUND(((Table127163143556797[[#This Row],[total time]]-$U$3)/$U$3)*$T$6,2))))</f>
        <v>175.92</v>
      </c>
      <c r="W9">
        <v>11</v>
      </c>
      <c r="X9">
        <v>113</v>
      </c>
      <c r="Y9" t="s">
        <v>479</v>
      </c>
      <c r="Z9" t="s">
        <v>547</v>
      </c>
      <c r="AA9" t="s">
        <v>830</v>
      </c>
      <c r="AB9">
        <v>2010</v>
      </c>
      <c r="AC9" s="1">
        <v>59.48</v>
      </c>
      <c r="AD9" s="1">
        <v>7.2662037037037042E-4</v>
      </c>
      <c r="AE9" s="1">
        <v>1.4150462962962964E-3</v>
      </c>
      <c r="AG9">
        <v>89871</v>
      </c>
      <c r="AH9" s="2">
        <f>_xlfn.LET(_xlpm.x,Table1221101934465870100[[#This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6.8842592592592588E-4</v>
      </c>
      <c r="AI9" s="3">
        <f>IF(Table1221101934465870100[[#This Row],[run 1 times]]="",999.99,IF(Table1221101934465870100[[#This Row],[run 1 times]]=$AO$3,0,MAX(0,ROUND(((Table1221101934465870100[[#This Row],[run 1 times]]-$AO$3)/$AO$3)*$AO$6,2))))</f>
        <v>92.82</v>
      </c>
      <c r="AJ9" s="2">
        <f>_xlfn.LET(_xlpm.x,Table1221101934465870100[[#This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7.2662037037037042E-4</v>
      </c>
      <c r="AK9" s="3">
        <f>IF(Table1221101934465870100[[#This Row],[run2 times]]="",999.99,IF(Table1221101934465870100[[#This Row],[run2 times]]=$AP$3,0,MAX(0,ROUND(((Table1221101934465870100[[#This Row],[run2 times]]-$AP$3)/$AP$3)*$AO$6,2))))</f>
        <v>135.36000000000001</v>
      </c>
      <c r="AL9" s="2">
        <f>IF(OR(Table1221101934465870100[[#This Row],[run 1 times]]="",Table1221101934465870100[[#This Row],[run2 times]]=""),"",Table1221101934465870100[[#This Row],[run 1 times]]+Table1221101934465870100[[#This Row],[run2 times]])</f>
        <v>1.4150462962962962E-3</v>
      </c>
      <c r="AM9" s="3">
        <f>IF(Table1221101934465870100[[#This Row],[total time]]="",999.99,IF(Table1221101934465870100[[#This Row],[total time]]=$AQ$3,0,MAX(0,ROUND(((Table1221101934465870100[[#This Row],[total time]]-$AQ$3)/$AQ$3)*$AO$6,2))))</f>
        <v>113.81</v>
      </c>
    </row>
    <row r="10" spans="1:43" x14ac:dyDescent="0.3">
      <c r="A10">
        <v>20</v>
      </c>
      <c r="B10">
        <v>7</v>
      </c>
      <c r="C10" t="s">
        <v>24</v>
      </c>
      <c r="D10" t="s">
        <v>522</v>
      </c>
      <c r="E10" t="s">
        <v>546</v>
      </c>
      <c r="F10">
        <v>2012</v>
      </c>
      <c r="G10" s="1">
        <v>8.7499999999999991E-4</v>
      </c>
      <c r="H10" s="1">
        <v>9.6562500000000012E-4</v>
      </c>
      <c r="I10" s="1">
        <v>1.840625E-3</v>
      </c>
      <c r="K10">
        <v>102776</v>
      </c>
      <c r="L10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8.7499999999999991E-4</v>
      </c>
      <c r="M10" s="3">
        <f>IF(Table127163143556797[[#This Row],[run 1 times]]="",999.99,IF(Table127163143556797[[#This Row],[run 1 times]]=$S$3,0,MAX(0,ROUND(((Table127163143556797[[#This Row],[run 1 times]]-$S$3)/$S$3)*$T$6,2))))</f>
        <v>217</v>
      </c>
      <c r="N10" s="2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9.6562500000000012E-4</v>
      </c>
      <c r="O10" s="3">
        <f>IF(Table127163143556797[[#This Row],[run2 times]]="",999.99,IF(Table127163143556797[[#This Row],[run2 times]]=$T$3,0,MAX(0,ROUND(((Table127163143556797[[#This Row],[run2 times]]-$T$3)/$T$3)*$T$6,2))))</f>
        <v>217.09</v>
      </c>
      <c r="P10" s="2">
        <f>IF(OR(Table127163143556797[[#This Row],[run 1 times]]="",Table127163143556797[[#This Row],[run2 times]]=""),"",Table127163143556797[[#This Row],[run 1 times]]+Table127163143556797[[#This Row],[run2 times]])</f>
        <v>1.840625E-3</v>
      </c>
      <c r="Q10" s="3">
        <f>IF(Table127163143556797[[#This Row],[total time]]="",999.99,IF(Table127163143556797[[#This Row],[total time]]=$U$3,0,MAX(0,ROUND(((Table127163143556797[[#This Row],[total time]]-$U$3)/$U$3)*$T$6,2))))</f>
        <v>217.05</v>
      </c>
      <c r="W10">
        <v>10</v>
      </c>
      <c r="X10">
        <v>114</v>
      </c>
      <c r="Y10" t="s">
        <v>257</v>
      </c>
      <c r="Z10" t="s">
        <v>572</v>
      </c>
      <c r="AA10" t="s">
        <v>567</v>
      </c>
      <c r="AB10">
        <v>2009</v>
      </c>
      <c r="AC10" s="1">
        <v>7.1064814814814819E-4</v>
      </c>
      <c r="AD10" s="1">
        <v>7.3298611111111112E-4</v>
      </c>
      <c r="AE10" s="1">
        <v>1.4436342592592593E-3</v>
      </c>
      <c r="AG10">
        <v>117692</v>
      </c>
      <c r="AH10" s="2">
        <f>_xlfn.LET(_xlpm.x,Table1221101934465870100[[#This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7.1064814814814819E-4</v>
      </c>
      <c r="AI10" s="3">
        <f>IF(Table1221101934465870100[[#This Row],[run 1 times]]="",999.99,IF(Table1221101934465870100[[#This Row],[run 1 times]]=$AO$3,0,MAX(0,ROUND(((Table1221101934465870100[[#This Row],[run 1 times]]-$AO$3)/$AO$3)*$AO$6,2))))</f>
        <v>119.38</v>
      </c>
      <c r="AJ10" s="2">
        <f>_xlfn.LET(_xlpm.x,Table1221101934465870100[[#This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7.3298611111111112E-4</v>
      </c>
      <c r="AK10" s="3">
        <f>IF(Table1221101934465870100[[#This Row],[run2 times]]="",999.99,IF(Table1221101934465870100[[#This Row],[run2 times]]=$AP$3,0,MAX(0,ROUND(((Table1221101934465870100[[#This Row],[run2 times]]-$AP$3)/$AP$3)*$AO$6,2))))</f>
        <v>142.94</v>
      </c>
      <c r="AL10" s="2">
        <f>IF(OR(Table1221101934465870100[[#This Row],[run 1 times]]="",Table1221101934465870100[[#This Row],[run2 times]]=""),"",Table1221101934465870100[[#This Row],[run 1 times]]+Table1221101934465870100[[#This Row],[run2 times]])</f>
        <v>1.4436342592592593E-3</v>
      </c>
      <c r="AM10" s="3">
        <f>IF(Table1221101934465870100[[#This Row],[total time]]="",999.99,IF(Table1221101934465870100[[#This Row],[total time]]=$AQ$3,0,MAX(0,ROUND(((Table1221101934465870100[[#This Row],[total time]]-$AQ$3)/$AQ$3)*$AO$6,2))))</f>
        <v>130.86000000000001</v>
      </c>
    </row>
    <row r="11" spans="1:43" x14ac:dyDescent="0.3">
      <c r="A11">
        <v>19</v>
      </c>
      <c r="B11">
        <v>8</v>
      </c>
      <c r="C11" t="s">
        <v>257</v>
      </c>
      <c r="D11" t="s">
        <v>480</v>
      </c>
      <c r="E11" t="s">
        <v>489</v>
      </c>
      <c r="F11">
        <v>2014</v>
      </c>
      <c r="G11" s="1">
        <v>8.914351851851851E-4</v>
      </c>
      <c r="H11" s="1" t="s">
        <v>512</v>
      </c>
      <c r="I11" s="1"/>
      <c r="K11">
        <v>116952</v>
      </c>
      <c r="L11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8.914351851851851E-4</v>
      </c>
      <c r="M11" s="3">
        <f>IF(Table127163143556797[[#This Row],[run 1 times]]="",999.99,IF(Table127163143556797[[#This Row],[run 1 times]]=$S$3,0,MAX(0,ROUND(((Table127163143556797[[#This Row],[run 1 times]]-$S$3)/$S$3)*$T$6,2))))</f>
        <v>240.04</v>
      </c>
      <c r="N11" s="2" t="str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11" s="3">
        <f>IF(Table127163143556797[[#This Row],[run2 times]]="",999.99,IF(Table127163143556797[[#This Row],[run2 times]]=$T$3,0,MAX(0,ROUND(((Table127163143556797[[#This Row],[run2 times]]-$T$3)/$T$3)*$T$6,2))))</f>
        <v>999.99</v>
      </c>
      <c r="P11" s="2" t="str">
        <f>IF(OR(Table127163143556797[[#This Row],[run 1 times]]="",Table127163143556797[[#This Row],[run2 times]]=""),"",Table127163143556797[[#This Row],[run 1 times]]+Table127163143556797[[#This Row],[run2 times]])</f>
        <v/>
      </c>
      <c r="Q11" s="3">
        <f>IF(Table127163143556797[[#This Row],[total time]]="",999.99,IF(Table127163143556797[[#This Row],[total time]]=$U$3,0,MAX(0,ROUND(((Table127163143556797[[#This Row],[total time]]-$U$3)/$U$3)*$T$6,2))))</f>
        <v>999.99</v>
      </c>
      <c r="W11">
        <v>9</v>
      </c>
      <c r="X11">
        <v>115</v>
      </c>
      <c r="Y11" t="s">
        <v>826</v>
      </c>
      <c r="Z11" t="s">
        <v>547</v>
      </c>
      <c r="AA11" t="s">
        <v>831</v>
      </c>
      <c r="AB11">
        <v>2010</v>
      </c>
      <c r="AC11" s="1">
        <v>58.6</v>
      </c>
      <c r="AD11" s="1">
        <v>59.72</v>
      </c>
      <c r="AE11" s="1">
        <v>1.3694444444444444E-3</v>
      </c>
      <c r="AG11">
        <v>92669</v>
      </c>
      <c r="AH11" s="2">
        <f>_xlfn.LET(_xlpm.x,Table1221101934465870100[[#This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6.7824074074074076E-4</v>
      </c>
      <c r="AI11" s="3">
        <f>IF(Table1221101934465870100[[#This Row],[run 1 times]]="",999.99,IF(Table1221101934465870100[[#This Row],[run 1 times]]=$AO$3,0,MAX(0,ROUND(((Table1221101934465870100[[#This Row],[run 1 times]]-$AO$3)/$AO$3)*$AO$6,2))))</f>
        <v>80.650000000000006</v>
      </c>
      <c r="AJ11" s="2">
        <f>_xlfn.LET(_xlpm.x,Table1221101934465870100[[#This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6.9120370370370364E-4</v>
      </c>
      <c r="AK11" s="3">
        <f>IF(Table1221101934465870100[[#This Row],[run2 times]]="",999.99,IF(Table1221101934465870100[[#This Row],[run2 times]]=$AP$3,0,MAX(0,ROUND(((Table1221101934465870100[[#This Row],[run2 times]]-$AP$3)/$AP$3)*$AO$6,2))))</f>
        <v>93.18</v>
      </c>
      <c r="AL11" s="2">
        <f>IF(OR(Table1221101934465870100[[#This Row],[run 1 times]]="",Table1221101934465870100[[#This Row],[run2 times]]=""),"",Table1221101934465870100[[#This Row],[run 1 times]]+Table1221101934465870100[[#This Row],[run2 times]])</f>
        <v>1.3694444444444444E-3</v>
      </c>
      <c r="AM11" s="3">
        <f>IF(Table1221101934465870100[[#This Row],[total time]]="",999.99,IF(Table1221101934465870100[[#This Row],[total time]]=$AQ$3,0,MAX(0,ROUND(((Table1221101934465870100[[#This Row],[total time]]-$AQ$3)/$AQ$3)*$AO$6,2))))</f>
        <v>86.62</v>
      </c>
    </row>
    <row r="12" spans="1:43" x14ac:dyDescent="0.3">
      <c r="A12">
        <v>16</v>
      </c>
      <c r="B12">
        <v>11</v>
      </c>
      <c r="C12" t="s">
        <v>257</v>
      </c>
      <c r="D12" t="s">
        <v>522</v>
      </c>
      <c r="E12" t="s">
        <v>530</v>
      </c>
      <c r="F12">
        <v>2013</v>
      </c>
      <c r="G12" s="1">
        <v>8.5046296296296302E-4</v>
      </c>
      <c r="H12" s="1">
        <v>9.7488425925925932E-4</v>
      </c>
      <c r="I12" s="1">
        <v>1.8253472222222223E-3</v>
      </c>
      <c r="K12">
        <v>112516</v>
      </c>
      <c r="L12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8.5046296296296302E-4</v>
      </c>
      <c r="M12" s="3">
        <f>IF(Table127163143556797[[#This Row],[run 1 times]]="",999.99,IF(Table127163143556797[[#This Row],[run 1 times]]=$S$3,0,MAX(0,ROUND(((Table127163143556797[[#This Row],[run 1 times]]-$S$3)/$S$3)*$T$6,2))))</f>
        <v>182.59</v>
      </c>
      <c r="N12" s="2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9.7488425925925932E-4</v>
      </c>
      <c r="O12" s="3">
        <f>IF(Table127163143556797[[#This Row],[run2 times]]="",999.99,IF(Table127163143556797[[#This Row],[run2 times]]=$T$3,0,MAX(0,ROUND(((Table127163143556797[[#This Row],[run2 times]]-$T$3)/$T$3)*$T$6,2))))</f>
        <v>228.86</v>
      </c>
      <c r="P12" s="2">
        <f>IF(OR(Table127163143556797[[#This Row],[run 1 times]]="",Table127163143556797[[#This Row],[run2 times]]=""),"",Table127163143556797[[#This Row],[run 1 times]]+Table127163143556797[[#This Row],[run2 times]])</f>
        <v>1.8253472222222223E-3</v>
      </c>
      <c r="Q12" s="3">
        <f>IF(Table127163143556797[[#This Row],[total time]]="",999.99,IF(Table127163143556797[[#This Row],[total time]]=$U$3,0,MAX(0,ROUND(((Table127163143556797[[#This Row],[total time]]-$U$3)/$U$3)*$T$6,2))))</f>
        <v>206.86</v>
      </c>
      <c r="W12">
        <v>8</v>
      </c>
      <c r="X12">
        <v>116</v>
      </c>
      <c r="Y12" t="s">
        <v>24</v>
      </c>
      <c r="Z12" t="s">
        <v>547</v>
      </c>
      <c r="AA12" t="s">
        <v>832</v>
      </c>
      <c r="AB12">
        <v>2011</v>
      </c>
      <c r="AC12" s="1">
        <v>7.3530092592592592E-4</v>
      </c>
      <c r="AD12" s="1">
        <v>7.5150462962962974E-4</v>
      </c>
      <c r="AE12" s="1">
        <v>1.4868055555555557E-3</v>
      </c>
      <c r="AG12">
        <v>89072</v>
      </c>
      <c r="AH12" s="2">
        <f>_xlfn.LET(_xlpm.x,Table1221101934465870100[[#This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7.3530092592592592E-4</v>
      </c>
      <c r="AI12" s="3">
        <f>IF(Table1221101934465870100[[#This Row],[run 1 times]]="",999.99,IF(Table1221101934465870100[[#This Row],[run 1 times]]=$AO$3,0,MAX(0,ROUND(((Table1221101934465870100[[#This Row],[run 1 times]]-$AO$3)/$AO$3)*$AO$6,2))))</f>
        <v>148.85</v>
      </c>
      <c r="AJ12" s="2">
        <f>_xlfn.LET(_xlpm.x,Table1221101934465870100[[#This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7.5150462962962974E-4</v>
      </c>
      <c r="AK12" s="3">
        <f>IF(Table1221101934465870100[[#This Row],[run2 times]]="",999.99,IF(Table1221101934465870100[[#This Row],[run2 times]]=$AP$3,0,MAX(0,ROUND(((Table1221101934465870100[[#This Row],[run2 times]]-$AP$3)/$AP$3)*$AO$6,2))))</f>
        <v>164.99</v>
      </c>
      <c r="AL12" s="2">
        <f>IF(OR(Table1221101934465870100[[#This Row],[run 1 times]]="",Table1221101934465870100[[#This Row],[run2 times]]=""),"",Table1221101934465870100[[#This Row],[run 1 times]]+Table1221101934465870100[[#This Row],[run2 times]])</f>
        <v>1.4868055555555557E-3</v>
      </c>
      <c r="AM12" s="3">
        <f>IF(Table1221101934465870100[[#This Row],[total time]]="",999.99,IF(Table1221101934465870100[[#This Row],[total time]]=$AQ$3,0,MAX(0,ROUND(((Table1221101934465870100[[#This Row],[total time]]-$AQ$3)/$AQ$3)*$AO$6,2))))</f>
        <v>156.6</v>
      </c>
    </row>
    <row r="13" spans="1:43" x14ac:dyDescent="0.3">
      <c r="A13">
        <v>15</v>
      </c>
      <c r="B13">
        <v>12</v>
      </c>
      <c r="C13" t="s">
        <v>851</v>
      </c>
      <c r="D13" t="s">
        <v>522</v>
      </c>
      <c r="E13" t="s">
        <v>855</v>
      </c>
      <c r="F13">
        <v>2013</v>
      </c>
      <c r="G13" s="1">
        <v>8.1828703703703707E-4</v>
      </c>
      <c r="H13" s="1">
        <v>9.0925925925925929E-4</v>
      </c>
      <c r="I13" s="1">
        <v>1.7275462962962963E-3</v>
      </c>
      <c r="K13">
        <v>7411518</v>
      </c>
      <c r="L13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8.1828703703703707E-4</v>
      </c>
      <c r="M13" s="3">
        <f>IF(Table127163143556797[[#This Row],[run 1 times]]="",999.99,IF(Table127163143556797[[#This Row],[run 1 times]]=$S$3,0,MAX(0,ROUND(((Table127163143556797[[#This Row],[run 1 times]]-$S$3)/$S$3)*$T$6,2))))</f>
        <v>137.47</v>
      </c>
      <c r="N13" s="2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9.0925925925925929E-4</v>
      </c>
      <c r="O13" s="3">
        <f>IF(Table127163143556797[[#This Row],[run2 times]]="",999.99,IF(Table127163143556797[[#This Row],[run2 times]]=$T$3,0,MAX(0,ROUND(((Table127163143556797[[#This Row],[run2 times]]-$T$3)/$T$3)*$T$6,2))))</f>
        <v>145.46</v>
      </c>
      <c r="P13" s="2">
        <f>IF(OR(Table127163143556797[[#This Row],[run 1 times]]="",Table127163143556797[[#This Row],[run2 times]]=""),"",Table127163143556797[[#This Row],[run 1 times]]+Table127163143556797[[#This Row],[run2 times]])</f>
        <v>1.7275462962962965E-3</v>
      </c>
      <c r="Q13" s="3">
        <f>IF(Table127163143556797[[#This Row],[total time]]="",999.99,IF(Table127163143556797[[#This Row],[total time]]=$U$3,0,MAX(0,ROUND(((Table127163143556797[[#This Row],[total time]]-$U$3)/$U$3)*$T$6,2))))</f>
        <v>141.66</v>
      </c>
      <c r="W13">
        <v>7</v>
      </c>
      <c r="X13">
        <v>117</v>
      </c>
      <c r="Y13" t="s">
        <v>479</v>
      </c>
      <c r="Z13" t="s">
        <v>547</v>
      </c>
      <c r="AA13" t="s">
        <v>575</v>
      </c>
      <c r="AB13">
        <v>2011</v>
      </c>
      <c r="AC13" s="1">
        <v>52.82</v>
      </c>
      <c r="AD13" s="1">
        <v>53.85</v>
      </c>
      <c r="AE13" s="1">
        <v>1.2346064814814815E-3</v>
      </c>
      <c r="AG13">
        <v>94621</v>
      </c>
      <c r="AH13" s="2">
        <f>_xlfn.LET(_xlpm.x,Table1221101934465870100[[#This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6.1134259259259258E-4</v>
      </c>
      <c r="AI13" s="3">
        <f>IF(Table1221101934465870100[[#This Row],[run 1 times]]="",999.99,IF(Table1221101934465870100[[#This Row],[run 1 times]]=$AO$3,0,MAX(0,ROUND(((Table1221101934465870100[[#This Row],[run 1 times]]-$AO$3)/$AO$3)*$AO$6,2))))</f>
        <v>0.69</v>
      </c>
      <c r="AJ13" s="2">
        <f>_xlfn.LET(_xlpm.x,Table1221101934465870100[[#This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6.2326388888888891E-4</v>
      </c>
      <c r="AK13" s="3">
        <f>IF(Table1221101934465870100[[#This Row],[run2 times]]="",999.99,IF(Table1221101934465870100[[#This Row],[run2 times]]=$AP$3,0,MAX(0,ROUND(((Table1221101934465870100[[#This Row],[run2 times]]-$AP$3)/$AP$3)*$AO$6,2))))</f>
        <v>12.27</v>
      </c>
      <c r="AL13" s="2">
        <f>IF(OR(Table1221101934465870100[[#This Row],[run 1 times]]="",Table1221101934465870100[[#This Row],[run2 times]]=""),"",Table1221101934465870100[[#This Row],[run 1 times]]+Table1221101934465870100[[#This Row],[run2 times]])</f>
        <v>1.2346064814814815E-3</v>
      </c>
      <c r="AM13" s="3">
        <f>IF(Table1221101934465870100[[#This Row],[total time]]="",999.99,IF(Table1221101934465870100[[#This Row],[total time]]=$AQ$3,0,MAX(0,ROUND(((Table1221101934465870100[[#This Row],[total time]]-$AQ$3)/$AQ$3)*$AO$6,2))))</f>
        <v>6.21</v>
      </c>
    </row>
    <row r="14" spans="1:43" x14ac:dyDescent="0.3">
      <c r="A14">
        <v>14</v>
      </c>
      <c r="B14">
        <v>13</v>
      </c>
      <c r="C14" t="s">
        <v>257</v>
      </c>
      <c r="D14" t="s">
        <v>522</v>
      </c>
      <c r="E14" t="s">
        <v>534</v>
      </c>
      <c r="F14">
        <v>2013</v>
      </c>
      <c r="G14" s="1">
        <v>9.4618055555555558E-4</v>
      </c>
      <c r="H14" s="1">
        <v>9.8831018518518517E-4</v>
      </c>
      <c r="I14" s="1">
        <v>1.9344907407407405E-3</v>
      </c>
      <c r="K14">
        <v>107308</v>
      </c>
      <c r="L14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9.4618055555555558E-4</v>
      </c>
      <c r="M14" s="3">
        <f>IF(Table127163143556797[[#This Row],[run 1 times]]="",999.99,IF(Table127163143556797[[#This Row],[run 1 times]]=$S$3,0,MAX(0,ROUND(((Table127163143556797[[#This Row],[run 1 times]]-$S$3)/$S$3)*$T$6,2))))</f>
        <v>316.81</v>
      </c>
      <c r="N14" s="2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9.8831018518518517E-4</v>
      </c>
      <c r="O14" s="3">
        <f>IF(Table127163143556797[[#This Row],[run2 times]]="",999.99,IF(Table127163143556797[[#This Row],[run2 times]]=$T$3,0,MAX(0,ROUND(((Table127163143556797[[#This Row],[run2 times]]-$T$3)/$T$3)*$T$6,2))))</f>
        <v>245.92</v>
      </c>
      <c r="P14" s="2">
        <f>IF(OR(Table127163143556797[[#This Row],[run 1 times]]="",Table127163143556797[[#This Row],[run2 times]]=""),"",Table127163143556797[[#This Row],[run 1 times]]+Table127163143556797[[#This Row],[run2 times]])</f>
        <v>1.9344907407407407E-3</v>
      </c>
      <c r="Q14" s="3">
        <f>IF(Table127163143556797[[#This Row],[total time]]="",999.99,IF(Table127163143556797[[#This Row],[total time]]=$U$3,0,MAX(0,ROUND(((Table127163143556797[[#This Row],[total time]]-$U$3)/$U$3)*$T$6,2))))</f>
        <v>279.62</v>
      </c>
      <c r="W14">
        <v>6</v>
      </c>
      <c r="X14">
        <v>118</v>
      </c>
      <c r="Y14" t="s">
        <v>373</v>
      </c>
      <c r="Z14" t="s">
        <v>547</v>
      </c>
      <c r="AA14" t="s">
        <v>554</v>
      </c>
      <c r="AB14">
        <v>2011</v>
      </c>
      <c r="AC14" s="1">
        <v>7.508101851851852E-4</v>
      </c>
      <c r="AD14" s="1">
        <v>8.1631944444444449E-4</v>
      </c>
      <c r="AE14" s="1">
        <v>1.5671296296296297E-3</v>
      </c>
      <c r="AG14">
        <v>94829</v>
      </c>
      <c r="AH14" s="2">
        <f>_xlfn.LET(_xlpm.x,Table1221101934465870100[[#This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7.508101851851852E-4</v>
      </c>
      <c r="AI14" s="3">
        <f>IF(Table1221101934465870100[[#This Row],[run 1 times]]="",999.99,IF(Table1221101934465870100[[#This Row],[run 1 times]]=$AO$3,0,MAX(0,ROUND(((Table1221101934465870100[[#This Row],[run 1 times]]-$AO$3)/$AO$3)*$AO$6,2))))</f>
        <v>167.39</v>
      </c>
      <c r="AJ14" s="2">
        <f>_xlfn.LET(_xlpm.x,Table1221101934465870100[[#This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8.1631944444444449E-4</v>
      </c>
      <c r="AK14" s="3">
        <f>IF(Table1221101934465870100[[#This Row],[run2 times]]="",999.99,IF(Table1221101934465870100[[#This Row],[run2 times]]=$AP$3,0,MAX(0,ROUND(((Table1221101934465870100[[#This Row],[run2 times]]-$AP$3)/$AP$3)*$AO$6,2))))</f>
        <v>242.18</v>
      </c>
      <c r="AL14" s="2">
        <f>IF(OR(Table1221101934465870100[[#This Row],[run 1 times]]="",Table1221101934465870100[[#This Row],[run2 times]]=""),"",Table1221101934465870100[[#This Row],[run 1 times]]+Table1221101934465870100[[#This Row],[run2 times]])</f>
        <v>1.5671296296296297E-3</v>
      </c>
      <c r="AM14" s="3">
        <f>IF(Table1221101934465870100[[#This Row],[total time]]="",999.99,IF(Table1221101934465870100[[#This Row],[total time]]=$AQ$3,0,MAX(0,ROUND(((Table1221101934465870100[[#This Row],[total time]]-$AQ$3)/$AQ$3)*$AO$6,2))))</f>
        <v>204.5</v>
      </c>
    </row>
    <row r="15" spans="1:43" x14ac:dyDescent="0.3">
      <c r="A15">
        <v>13</v>
      </c>
      <c r="B15">
        <v>14</v>
      </c>
      <c r="C15" t="s">
        <v>257</v>
      </c>
      <c r="D15" t="s">
        <v>522</v>
      </c>
      <c r="E15" t="s">
        <v>532</v>
      </c>
      <c r="F15">
        <v>2013</v>
      </c>
      <c r="G15" s="1">
        <v>8.4212962962962974E-4</v>
      </c>
      <c r="H15" s="1">
        <v>9.020833333333333E-4</v>
      </c>
      <c r="I15" s="1">
        <v>1.7442129629629628E-3</v>
      </c>
      <c r="K15">
        <v>117693</v>
      </c>
      <c r="L15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8.4212962962962974E-4</v>
      </c>
      <c r="M15" s="3">
        <f>IF(Table127163143556797[[#This Row],[run 1 times]]="",999.99,IF(Table127163143556797[[#This Row],[run 1 times]]=$S$3,0,MAX(0,ROUND(((Table127163143556797[[#This Row],[run 1 times]]-$S$3)/$S$3)*$T$6,2))))</f>
        <v>170.9</v>
      </c>
      <c r="N15" s="2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9.020833333333333E-4</v>
      </c>
      <c r="O15" s="3">
        <f>IF(Table127163143556797[[#This Row],[run2 times]]="",999.99,IF(Table127163143556797[[#This Row],[run2 times]]=$T$3,0,MAX(0,ROUND(((Table127163143556797[[#This Row],[run2 times]]-$T$3)/$T$3)*$T$6,2))))</f>
        <v>136.34</v>
      </c>
      <c r="P15" s="2">
        <f>IF(OR(Table127163143556797[[#This Row],[run 1 times]]="",Table127163143556797[[#This Row],[run2 times]]=""),"",Table127163143556797[[#This Row],[run 1 times]]+Table127163143556797[[#This Row],[run2 times]])</f>
        <v>1.744212962962963E-3</v>
      </c>
      <c r="Q15" s="3">
        <f>IF(Table127163143556797[[#This Row],[total time]]="",999.99,IF(Table127163143556797[[#This Row],[total time]]=$U$3,0,MAX(0,ROUND(((Table127163143556797[[#This Row],[total time]]-$U$3)/$U$3)*$T$6,2))))</f>
        <v>152.77000000000001</v>
      </c>
      <c r="W15">
        <v>5</v>
      </c>
      <c r="X15">
        <v>119</v>
      </c>
      <c r="Y15" t="s">
        <v>479</v>
      </c>
      <c r="Z15" t="s">
        <v>547</v>
      </c>
      <c r="AA15" t="s">
        <v>549</v>
      </c>
      <c r="AB15">
        <v>2011</v>
      </c>
      <c r="AC15" s="1">
        <v>57.28</v>
      </c>
      <c r="AD15" s="1">
        <v>58.79</v>
      </c>
      <c r="AE15" s="1">
        <v>1.3434027777777778E-3</v>
      </c>
      <c r="AG15">
        <v>89879</v>
      </c>
      <c r="AH15" s="2">
        <f>_xlfn.LET(_xlpm.x,Table1221101934465870100[[#This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6.6296296296296296E-4</v>
      </c>
      <c r="AI15" s="3">
        <f>IF(Table1221101934465870100[[#This Row],[run 1 times]]="",999.99,IF(Table1221101934465870100[[#This Row],[run 1 times]]=$AO$3,0,MAX(0,ROUND(((Table1221101934465870100[[#This Row],[run 1 times]]-$AO$3)/$AO$3)*$AO$6,2))))</f>
        <v>62.39</v>
      </c>
      <c r="AJ15" s="2">
        <f>_xlfn.LET(_xlpm.x,Table1221101934465870100[[#This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6.8043981481481482E-4</v>
      </c>
      <c r="AK15" s="3">
        <f>IF(Table1221101934465870100[[#This Row],[run2 times]]="",999.99,IF(Table1221101934465870100[[#This Row],[run2 times]]=$AP$3,0,MAX(0,ROUND(((Table1221101934465870100[[#This Row],[run2 times]]-$AP$3)/$AP$3)*$AO$6,2))))</f>
        <v>80.36</v>
      </c>
      <c r="AL15" s="2">
        <f>IF(OR(Table1221101934465870100[[#This Row],[run 1 times]]="",Table1221101934465870100[[#This Row],[run2 times]]=""),"",Table1221101934465870100[[#This Row],[run 1 times]]+Table1221101934465870100[[#This Row],[run2 times]])</f>
        <v>1.3434027777777778E-3</v>
      </c>
      <c r="AM15" s="3">
        <f>IF(Table1221101934465870100[[#This Row],[total time]]="",999.99,IF(Table1221101934465870100[[#This Row],[total time]]=$AQ$3,0,MAX(0,ROUND(((Table1221101934465870100[[#This Row],[total time]]-$AQ$3)/$AQ$3)*$AO$6,2))))</f>
        <v>71.09</v>
      </c>
    </row>
    <row r="16" spans="1:43" x14ac:dyDescent="0.3">
      <c r="A16">
        <v>12</v>
      </c>
      <c r="B16">
        <v>15</v>
      </c>
      <c r="C16" t="s">
        <v>487</v>
      </c>
      <c r="D16" t="s">
        <v>522</v>
      </c>
      <c r="E16" t="s">
        <v>856</v>
      </c>
      <c r="F16">
        <v>2012</v>
      </c>
      <c r="G16" s="1">
        <v>1.0186342592592593E-3</v>
      </c>
      <c r="H16" s="1">
        <v>1.1277777777777777E-3</v>
      </c>
      <c r="I16" s="1">
        <v>2.146412037037037E-3</v>
      </c>
      <c r="K16">
        <v>108840</v>
      </c>
      <c r="L16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1.0186342592592593E-3</v>
      </c>
      <c r="M16" s="3">
        <f>IF(Table127163143556797[[#This Row],[run 1 times]]="",999.99,IF(Table127163143556797[[#This Row],[run 1 times]]=$S$3,0,MAX(0,ROUND(((Table127163143556797[[#This Row],[run 1 times]]-$S$3)/$S$3)*$T$6,2))))</f>
        <v>418.41</v>
      </c>
      <c r="N16" s="2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1.1277777777777777E-3</v>
      </c>
      <c r="O16" s="3">
        <f>IF(Table127163143556797[[#This Row],[run2 times]]="",999.99,IF(Table127163143556797[[#This Row],[run2 times]]=$T$3,0,MAX(0,ROUND(((Table127163143556797[[#This Row],[run2 times]]-$T$3)/$T$3)*$T$6,2))))</f>
        <v>423.15</v>
      </c>
      <c r="P16" s="2">
        <f>IF(OR(Table127163143556797[[#This Row],[run 1 times]]="",Table127163143556797[[#This Row],[run2 times]]=""),"",Table127163143556797[[#This Row],[run 1 times]]+Table127163143556797[[#This Row],[run2 times]])</f>
        <v>2.146412037037037E-3</v>
      </c>
      <c r="Q16" s="3">
        <f>IF(Table127163143556797[[#This Row],[total time]]="",999.99,IF(Table127163143556797[[#This Row],[total time]]=$U$3,0,MAX(0,ROUND(((Table127163143556797[[#This Row],[total time]]-$U$3)/$U$3)*$T$6,2))))</f>
        <v>420.9</v>
      </c>
      <c r="W16">
        <v>3</v>
      </c>
      <c r="X16">
        <v>121</v>
      </c>
      <c r="Y16" t="s">
        <v>24</v>
      </c>
      <c r="Z16" t="s">
        <v>547</v>
      </c>
      <c r="AA16" t="s">
        <v>562</v>
      </c>
      <c r="AB16">
        <v>2011</v>
      </c>
      <c r="AC16" s="1">
        <v>7.2511574074074069E-4</v>
      </c>
      <c r="AD16" s="1">
        <v>7.4120370370370377E-4</v>
      </c>
      <c r="AE16" s="1">
        <v>1.4663194444444444E-3</v>
      </c>
      <c r="AG16">
        <v>104665</v>
      </c>
      <c r="AH16" s="2">
        <f>_xlfn.LET(_xlpm.x,Table1221101934465870100[[#This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7.2511574074074069E-4</v>
      </c>
      <c r="AI16" s="3">
        <f>IF(Table1221101934465870100[[#This Row],[run 1 times]]="",999.99,IF(Table1221101934465870100[[#This Row],[run 1 times]]=$AO$3,0,MAX(0,ROUND(((Table1221101934465870100[[#This Row],[run 1 times]]-$AO$3)/$AO$3)*$AO$6,2))))</f>
        <v>136.68</v>
      </c>
      <c r="AJ16" s="2">
        <f>_xlfn.LET(_xlpm.x,Table1221101934465870100[[#This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7.4120370370370377E-4</v>
      </c>
      <c r="AK16" s="3">
        <f>IF(Table1221101934465870100[[#This Row],[run2 times]]="",999.99,IF(Table1221101934465870100[[#This Row],[run2 times]]=$AP$3,0,MAX(0,ROUND(((Table1221101934465870100[[#This Row],[run2 times]]-$AP$3)/$AP$3)*$AO$6,2))))</f>
        <v>152.72999999999999</v>
      </c>
      <c r="AL16" s="2">
        <f>IF(OR(Table1221101934465870100[[#This Row],[run 1 times]]="",Table1221101934465870100[[#This Row],[run2 times]]=""),"",Table1221101934465870100[[#This Row],[run 1 times]]+Table1221101934465870100[[#This Row],[run2 times]])</f>
        <v>1.4663194444444446E-3</v>
      </c>
      <c r="AM16" s="3">
        <f>IF(Table1221101934465870100[[#This Row],[total time]]="",999.99,IF(Table1221101934465870100[[#This Row],[total time]]=$AQ$3,0,MAX(0,ROUND(((Table1221101934465870100[[#This Row],[total time]]-$AQ$3)/$AQ$3)*$AO$6,2))))</f>
        <v>144.38</v>
      </c>
    </row>
    <row r="17" spans="1:39" x14ac:dyDescent="0.3">
      <c r="A17">
        <v>11</v>
      </c>
      <c r="B17">
        <v>16</v>
      </c>
      <c r="C17" t="s">
        <v>479</v>
      </c>
      <c r="D17" t="s">
        <v>522</v>
      </c>
      <c r="E17" t="s">
        <v>545</v>
      </c>
      <c r="F17">
        <v>2013</v>
      </c>
      <c r="G17" s="1">
        <v>9.4722222222222224E-4</v>
      </c>
      <c r="H17" s="1">
        <v>1.0380787037037036E-3</v>
      </c>
      <c r="I17" s="1">
        <v>1.9853009259259259E-3</v>
      </c>
      <c r="K17">
        <v>103279</v>
      </c>
      <c r="L17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9.4722222222222224E-4</v>
      </c>
      <c r="M17" s="3">
        <f>IF(Table127163143556797[[#This Row],[run 1 times]]="",999.99,IF(Table127163143556797[[#This Row],[run 1 times]]=$S$3,0,MAX(0,ROUND(((Table127163143556797[[#This Row],[run 1 times]]-$S$3)/$S$3)*$T$6,2))))</f>
        <v>318.27</v>
      </c>
      <c r="N17" s="2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1.0380787037037036E-3</v>
      </c>
      <c r="O17" s="3">
        <f>IF(Table127163143556797[[#This Row],[run2 times]]="",999.99,IF(Table127163143556797[[#This Row],[run2 times]]=$T$3,0,MAX(0,ROUND(((Table127163143556797[[#This Row],[run2 times]]-$T$3)/$T$3)*$T$6,2))))</f>
        <v>309.16000000000003</v>
      </c>
      <c r="P17" s="2">
        <f>IF(OR(Table127163143556797[[#This Row],[run 1 times]]="",Table127163143556797[[#This Row],[run2 times]]=""),"",Table127163143556797[[#This Row],[run 1 times]]+Table127163143556797[[#This Row],[run2 times]])</f>
        <v>1.9853009259259259E-3</v>
      </c>
      <c r="Q17" s="3">
        <f>IF(Table127163143556797[[#This Row],[total time]]="",999.99,IF(Table127163143556797[[#This Row],[total time]]=$U$3,0,MAX(0,ROUND(((Table127163143556797[[#This Row],[total time]]-$U$3)/$U$3)*$T$6,2))))</f>
        <v>313.49</v>
      </c>
      <c r="W17">
        <v>2</v>
      </c>
      <c r="X17">
        <v>122</v>
      </c>
      <c r="Y17" t="s">
        <v>223</v>
      </c>
      <c r="Z17" t="s">
        <v>547</v>
      </c>
      <c r="AA17" t="s">
        <v>580</v>
      </c>
      <c r="AB17">
        <v>2011</v>
      </c>
      <c r="AC17" s="1">
        <v>7.5972222222222218E-4</v>
      </c>
      <c r="AD17" s="1">
        <v>7.730324074074075E-4</v>
      </c>
      <c r="AE17" s="1">
        <v>1.5327546296296298E-3</v>
      </c>
      <c r="AG17">
        <v>94556</v>
      </c>
      <c r="AH17" s="2">
        <f>_xlfn.LET(_xlpm.x,Table1221101934465870100[[#This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7.5972222222222218E-4</v>
      </c>
      <c r="AI17" s="3">
        <f>IF(Table1221101934465870100[[#This Row],[run 1 times]]="",999.99,IF(Table1221101934465870100[[#This Row],[run 1 times]]=$AO$3,0,MAX(0,ROUND(((Table1221101934465870100[[#This Row],[run 1 times]]-$AO$3)/$AO$3)*$AO$6,2))))</f>
        <v>178.04</v>
      </c>
      <c r="AJ17" s="2">
        <f>_xlfn.LET(_xlpm.x,Table1221101934465870100[[#This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7.730324074074075E-4</v>
      </c>
      <c r="AK17" s="3">
        <f>IF(Table1221101934465870100[[#This Row],[run2 times]]="",999.99,IF(Table1221101934465870100[[#This Row],[run2 times]]=$AP$3,0,MAX(0,ROUND(((Table1221101934465870100[[#This Row],[run2 times]]-$AP$3)/$AP$3)*$AO$6,2))))</f>
        <v>190.63</v>
      </c>
      <c r="AL17" s="2">
        <f>IF(OR(Table1221101934465870100[[#This Row],[run 1 times]]="",Table1221101934465870100[[#This Row],[run2 times]]=""),"",Table1221101934465870100[[#This Row],[run 1 times]]+Table1221101934465870100[[#This Row],[run2 times]])</f>
        <v>1.5327546296296296E-3</v>
      </c>
      <c r="AM17" s="3">
        <f>IF(Table1221101934465870100[[#This Row],[total time]]="",999.99,IF(Table1221101934465870100[[#This Row],[total time]]=$AQ$3,0,MAX(0,ROUND(((Table1221101934465870100[[#This Row],[total time]]-$AQ$3)/$AQ$3)*$AO$6,2))))</f>
        <v>184</v>
      </c>
    </row>
    <row r="18" spans="1:39" x14ac:dyDescent="0.3">
      <c r="A18">
        <v>10</v>
      </c>
      <c r="B18">
        <v>17</v>
      </c>
      <c r="C18" t="s">
        <v>487</v>
      </c>
      <c r="D18" t="s">
        <v>522</v>
      </c>
      <c r="E18" t="s">
        <v>857</v>
      </c>
      <c r="F18">
        <v>2013</v>
      </c>
      <c r="G18" s="1">
        <v>8.8877314814814808E-4</v>
      </c>
      <c r="H18" s="1">
        <v>9.5162037037037036E-4</v>
      </c>
      <c r="I18" s="1">
        <v>1.8403935185185183E-3</v>
      </c>
      <c r="K18">
        <v>10426</v>
      </c>
      <c r="L18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8.8877314814814808E-4</v>
      </c>
      <c r="M18" s="3">
        <f>IF(Table127163143556797[[#This Row],[run 1 times]]="",999.99,IF(Table127163143556797[[#This Row],[run 1 times]]=$S$3,0,MAX(0,ROUND(((Table127163143556797[[#This Row],[run 1 times]]-$S$3)/$S$3)*$T$6,2))))</f>
        <v>236.31</v>
      </c>
      <c r="N18" s="2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9.5162037037037036E-4</v>
      </c>
      <c r="O18" s="3">
        <f>IF(Table127163143556797[[#This Row],[run2 times]]="",999.99,IF(Table127163143556797[[#This Row],[run2 times]]=$T$3,0,MAX(0,ROUND(((Table127163143556797[[#This Row],[run2 times]]-$T$3)/$T$3)*$T$6,2))))</f>
        <v>199.29</v>
      </c>
      <c r="P18" s="2">
        <f>IF(OR(Table127163143556797[[#This Row],[run 1 times]]="",Table127163143556797[[#This Row],[run2 times]]=""),"",Table127163143556797[[#This Row],[run 1 times]]+Table127163143556797[[#This Row],[run2 times]])</f>
        <v>1.8403935185185186E-3</v>
      </c>
      <c r="Q18" s="3">
        <f>IF(Table127163143556797[[#This Row],[total time]]="",999.99,IF(Table127163143556797[[#This Row],[total time]]=$U$3,0,MAX(0,ROUND(((Table127163143556797[[#This Row],[total time]]-$U$3)/$U$3)*$T$6,2))))</f>
        <v>216.89</v>
      </c>
      <c r="W18">
        <v>1</v>
      </c>
      <c r="X18">
        <v>123</v>
      </c>
      <c r="Y18" t="s">
        <v>223</v>
      </c>
      <c r="Z18" t="s">
        <v>547</v>
      </c>
      <c r="AA18" t="s">
        <v>574</v>
      </c>
      <c r="AB18">
        <v>2010</v>
      </c>
      <c r="AC18" s="1">
        <v>52.77</v>
      </c>
      <c r="AD18" s="1">
        <v>53.57</v>
      </c>
      <c r="AE18" s="1">
        <v>1.2307870370370372E-3</v>
      </c>
      <c r="AG18">
        <v>93284</v>
      </c>
      <c r="AH18" s="2">
        <f>_xlfn.LET(_xlpm.x,Table1221101934465870100[[#This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6.1076388888888888E-4</v>
      </c>
      <c r="AI18" s="3">
        <f>IF(Table1221101934465870100[[#This Row],[run 1 times]]="",999.99,IF(Table1221101934465870100[[#This Row],[run 1 times]]=$AO$3,0,MAX(0,ROUND(((Table1221101934465870100[[#This Row],[run 1 times]]-$AO$3)/$AO$3)*$AO$6,2))))</f>
        <v>0</v>
      </c>
      <c r="AJ18" s="2">
        <f>_xlfn.LET(_xlpm.x,Table1221101934465870100[[#This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6.2002314814814819E-4</v>
      </c>
      <c r="AK18" s="3">
        <f>IF(Table1221101934465870100[[#This Row],[run2 times]]="",999.99,IF(Table1221101934465870100[[#This Row],[run2 times]]=$AP$3,0,MAX(0,ROUND(((Table1221101934465870100[[#This Row],[run2 times]]-$AP$3)/$AP$3)*$AO$6,2))))</f>
        <v>8.41</v>
      </c>
      <c r="AL18" s="2">
        <f>IF(OR(Table1221101934465870100[[#This Row],[run 1 times]]="",Table1221101934465870100[[#This Row],[run2 times]]=""),"",Table1221101934465870100[[#This Row],[run 1 times]]+Table1221101934465870100[[#This Row],[run2 times]])</f>
        <v>1.2307870370370372E-3</v>
      </c>
      <c r="AM18" s="3">
        <f>IF(Table1221101934465870100[[#This Row],[total time]]="",999.99,IF(Table1221101934465870100[[#This Row],[total time]]=$AQ$3,0,MAX(0,ROUND(((Table1221101934465870100[[#This Row],[total time]]-$AQ$3)/$AQ$3)*$AO$6,2))))</f>
        <v>3.93</v>
      </c>
    </row>
    <row r="19" spans="1:39" x14ac:dyDescent="0.3">
      <c r="A19">
        <v>9</v>
      </c>
      <c r="B19">
        <v>18</v>
      </c>
      <c r="C19" t="s">
        <v>479</v>
      </c>
      <c r="D19" t="s">
        <v>522</v>
      </c>
      <c r="E19" t="s">
        <v>858</v>
      </c>
      <c r="F19">
        <v>2012</v>
      </c>
      <c r="G19" s="1">
        <v>9.5173611111111121E-4</v>
      </c>
      <c r="H19" s="1">
        <v>1.0103009259259258E-3</v>
      </c>
      <c r="I19" s="1">
        <v>1.9620370370370373E-3</v>
      </c>
      <c r="K19">
        <v>124918</v>
      </c>
      <c r="L19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9.5173611111111121E-4</v>
      </c>
      <c r="M19" s="3">
        <f>IF(Table127163143556797[[#This Row],[run 1 times]]="",999.99,IF(Table127163143556797[[#This Row],[run 1 times]]=$S$3,0,MAX(0,ROUND(((Table127163143556797[[#This Row],[run 1 times]]-$S$3)/$S$3)*$T$6,2))))</f>
        <v>324.60000000000002</v>
      </c>
      <c r="N19" s="2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1.0103009259259258E-3</v>
      </c>
      <c r="O19" s="3">
        <f>IF(Table127163143556797[[#This Row],[run2 times]]="",999.99,IF(Table127163143556797[[#This Row],[run2 times]]=$T$3,0,MAX(0,ROUND(((Table127163143556797[[#This Row],[run2 times]]-$T$3)/$T$3)*$T$6,2))))</f>
        <v>273.86</v>
      </c>
      <c r="P19" s="2">
        <f>IF(OR(Table127163143556797[[#This Row],[run 1 times]]="",Table127163143556797[[#This Row],[run2 times]]=""),"",Table127163143556797[[#This Row],[run 1 times]]+Table127163143556797[[#This Row],[run2 times]])</f>
        <v>1.9620370370370369E-3</v>
      </c>
      <c r="Q19" s="3">
        <f>IF(Table127163143556797[[#This Row],[total time]]="",999.99,IF(Table127163143556797[[#This Row],[total time]]=$U$3,0,MAX(0,ROUND(((Table127163143556797[[#This Row],[total time]]-$U$3)/$U$3)*$T$6,2))))</f>
        <v>297.98</v>
      </c>
      <c r="W19">
        <v>36</v>
      </c>
      <c r="X19">
        <v>124</v>
      </c>
      <c r="Y19" t="s">
        <v>479</v>
      </c>
      <c r="Z19" t="s">
        <v>547</v>
      </c>
      <c r="AA19" t="s">
        <v>566</v>
      </c>
      <c r="AB19">
        <v>2010</v>
      </c>
      <c r="AC19" s="1">
        <v>7.1307870370370373E-4</v>
      </c>
      <c r="AD19" s="1">
        <v>7.1261574074074077E-4</v>
      </c>
      <c r="AE19" s="1">
        <v>1.4256944444444445E-3</v>
      </c>
      <c r="AG19">
        <v>89868</v>
      </c>
      <c r="AH19" s="2">
        <f>_xlfn.LET(_xlpm.x,Table1221101934465870100[[#This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7.1307870370370373E-4</v>
      </c>
      <c r="AI19" s="3">
        <f>IF(Table1221101934465870100[[#This Row],[run 1 times]]="",999.99,IF(Table1221101934465870100[[#This Row],[run 1 times]]=$AO$3,0,MAX(0,ROUND(((Table1221101934465870100[[#This Row],[run 1 times]]-$AO$3)/$AO$3)*$AO$6,2))))</f>
        <v>122.29</v>
      </c>
      <c r="AJ19" s="2">
        <f>_xlfn.LET(_xlpm.x,Table1221101934465870100[[#This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7.1261574074074077E-4</v>
      </c>
      <c r="AK19" s="3">
        <f>IF(Table1221101934465870100[[#This Row],[run2 times]]="",999.99,IF(Table1221101934465870100[[#This Row],[run2 times]]=$AP$3,0,MAX(0,ROUND(((Table1221101934465870100[[#This Row],[run2 times]]-$AP$3)/$AP$3)*$AO$6,2))))</f>
        <v>118.68</v>
      </c>
      <c r="AL19" s="2">
        <f>IF(OR(Table1221101934465870100[[#This Row],[run 1 times]]="",Table1221101934465870100[[#This Row],[run2 times]]=""),"",Table1221101934465870100[[#This Row],[run 1 times]]+Table1221101934465870100[[#This Row],[run2 times]])</f>
        <v>1.4256944444444445E-3</v>
      </c>
      <c r="AM19" s="3">
        <f>IF(Table1221101934465870100[[#This Row],[total time]]="",999.99,IF(Table1221101934465870100[[#This Row],[total time]]=$AQ$3,0,MAX(0,ROUND(((Table1221101934465870100[[#This Row],[total time]]-$AQ$3)/$AQ$3)*$AO$6,2))))</f>
        <v>120.16</v>
      </c>
    </row>
    <row r="20" spans="1:39" x14ac:dyDescent="0.3">
      <c r="A20">
        <v>8</v>
      </c>
      <c r="B20">
        <v>19</v>
      </c>
      <c r="C20" t="s">
        <v>487</v>
      </c>
      <c r="D20" t="s">
        <v>522</v>
      </c>
      <c r="E20" t="s">
        <v>859</v>
      </c>
      <c r="F20">
        <v>2013</v>
      </c>
      <c r="G20" s="1">
        <v>9.260416666666667E-4</v>
      </c>
      <c r="H20" s="1" t="s">
        <v>512</v>
      </c>
      <c r="I20" s="1"/>
      <c r="K20">
        <v>108267</v>
      </c>
      <c r="L20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9.260416666666667E-4</v>
      </c>
      <c r="M20" s="3">
        <f>IF(Table127163143556797[[#This Row],[run 1 times]]="",999.99,IF(Table127163143556797[[#This Row],[run 1 times]]=$S$3,0,MAX(0,ROUND(((Table127163143556797[[#This Row],[run 1 times]]-$S$3)/$S$3)*$T$6,2))))</f>
        <v>288.57</v>
      </c>
      <c r="N20" s="2" t="str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20" s="3">
        <f>IF(Table127163143556797[[#This Row],[run2 times]]="",999.99,IF(Table127163143556797[[#This Row],[run2 times]]=$T$3,0,MAX(0,ROUND(((Table127163143556797[[#This Row],[run2 times]]-$T$3)/$T$3)*$T$6,2))))</f>
        <v>999.99</v>
      </c>
      <c r="P20" s="2" t="str">
        <f>IF(OR(Table127163143556797[[#This Row],[run 1 times]]="",Table127163143556797[[#This Row],[run2 times]]=""),"",Table127163143556797[[#This Row],[run 1 times]]+Table127163143556797[[#This Row],[run2 times]])</f>
        <v/>
      </c>
      <c r="Q20" s="3">
        <f>IF(Table127163143556797[[#This Row],[total time]]="",999.99,IF(Table127163143556797[[#This Row],[total time]]=$U$3,0,MAX(0,ROUND(((Table127163143556797[[#This Row],[total time]]-$U$3)/$U$3)*$T$6,2))))</f>
        <v>999.99</v>
      </c>
      <c r="W20">
        <v>35</v>
      </c>
      <c r="X20">
        <v>125</v>
      </c>
      <c r="Y20" t="s">
        <v>479</v>
      </c>
      <c r="Z20" t="s">
        <v>547</v>
      </c>
      <c r="AA20" t="s">
        <v>555</v>
      </c>
      <c r="AB20">
        <v>2011</v>
      </c>
      <c r="AC20" s="1">
        <v>52.81</v>
      </c>
      <c r="AD20" s="1">
        <v>52.96</v>
      </c>
      <c r="AE20" s="1">
        <v>1.2241898148148149E-3</v>
      </c>
      <c r="AG20">
        <v>94624</v>
      </c>
      <c r="AH20" s="2">
        <f>_xlfn.LET(_xlpm.x,Table1221101934465870100[[#This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6.1122685185185184E-4</v>
      </c>
      <c r="AI20" s="3">
        <f>IF(Table1221101934465870100[[#This Row],[run 1 times]]="",999.99,IF(Table1221101934465870100[[#This Row],[run 1 times]]=$AO$3,0,MAX(0,ROUND(((Table1221101934465870100[[#This Row],[run 1 times]]-$AO$3)/$AO$3)*$AO$6,2))))</f>
        <v>0.55000000000000004</v>
      </c>
      <c r="AJ20" s="2">
        <f>_xlfn.LET(_xlpm.x,Table1221101934465870100[[#This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6.1296296296296294E-4</v>
      </c>
      <c r="AK20" s="3">
        <f>IF(Table1221101934465870100[[#This Row],[run2 times]]="",999.99,IF(Table1221101934465870100[[#This Row],[run2 times]]=$AP$3,0,MAX(0,ROUND(((Table1221101934465870100[[#This Row],[run2 times]]-$AP$3)/$AP$3)*$AO$6,2))))</f>
        <v>0</v>
      </c>
      <c r="AL20" s="2">
        <f>IF(OR(Table1221101934465870100[[#This Row],[run 1 times]]="",Table1221101934465870100[[#This Row],[run2 times]]=""),"",Table1221101934465870100[[#This Row],[run 1 times]]+Table1221101934465870100[[#This Row],[run2 times]])</f>
        <v>1.2241898148148147E-3</v>
      </c>
      <c r="AM20" s="3">
        <f>IF(Table1221101934465870100[[#This Row],[total time]]="",999.99,IF(Table1221101934465870100[[#This Row],[total time]]=$AQ$3,0,MAX(0,ROUND(((Table1221101934465870100[[#This Row],[total time]]-$AQ$3)/$AQ$3)*$AO$6,2))))</f>
        <v>0</v>
      </c>
    </row>
    <row r="21" spans="1:39" x14ac:dyDescent="0.3">
      <c r="A21">
        <v>7</v>
      </c>
      <c r="B21">
        <v>20</v>
      </c>
      <c r="C21" t="s">
        <v>257</v>
      </c>
      <c r="D21" t="s">
        <v>480</v>
      </c>
      <c r="E21" t="s">
        <v>493</v>
      </c>
      <c r="F21">
        <v>2014</v>
      </c>
      <c r="G21" s="1">
        <v>1.124537037037037E-3</v>
      </c>
      <c r="H21" s="1" t="s">
        <v>512</v>
      </c>
      <c r="I21" s="1"/>
      <c r="K21">
        <v>120668</v>
      </c>
      <c r="L21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1.124537037037037E-3</v>
      </c>
      <c r="M21" s="3">
        <f>IF(Table127163143556797[[#This Row],[run 1 times]]="",999.99,IF(Table127163143556797[[#This Row],[run 1 times]]=$S$3,0,MAX(0,ROUND(((Table127163143556797[[#This Row],[run 1 times]]-$S$3)/$S$3)*$T$6,2))))</f>
        <v>566.91999999999996</v>
      </c>
      <c r="N21" s="2" t="str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21" s="3">
        <f>IF(Table127163143556797[[#This Row],[run2 times]]="",999.99,IF(Table127163143556797[[#This Row],[run2 times]]=$T$3,0,MAX(0,ROUND(((Table127163143556797[[#This Row],[run2 times]]-$T$3)/$T$3)*$T$6,2))))</f>
        <v>999.99</v>
      </c>
      <c r="P21" s="2" t="str">
        <f>IF(OR(Table127163143556797[[#This Row],[run 1 times]]="",Table127163143556797[[#This Row],[run2 times]]=""),"",Table127163143556797[[#This Row],[run 1 times]]+Table127163143556797[[#This Row],[run2 times]])</f>
        <v/>
      </c>
      <c r="Q21" s="3">
        <f>IF(Table127163143556797[[#This Row],[total time]]="",999.99,IF(Table127163143556797[[#This Row],[total time]]=$U$3,0,MAX(0,ROUND(((Table127163143556797[[#This Row],[total time]]-$U$3)/$U$3)*$T$6,2))))</f>
        <v>999.99</v>
      </c>
      <c r="W21">
        <v>33</v>
      </c>
      <c r="X21">
        <v>127</v>
      </c>
      <c r="Y21" t="s">
        <v>257</v>
      </c>
      <c r="Z21" t="s">
        <v>547</v>
      </c>
      <c r="AA21" t="s">
        <v>571</v>
      </c>
      <c r="AB21">
        <v>2010</v>
      </c>
      <c r="AC21" s="1" t="s">
        <v>512</v>
      </c>
      <c r="AD21" s="1">
        <v>7.5694444444444453E-4</v>
      </c>
      <c r="AE21" s="1"/>
      <c r="AG21">
        <v>92167</v>
      </c>
      <c r="AH21" s="2" t="str">
        <f>_xlfn.LET(_xlpm.x,Table1221101934465870100[[#This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21" s="3">
        <f>IF(Table1221101934465870100[[#This Row],[run 1 times]]="",999.99,IF(Table1221101934465870100[[#This Row],[run 1 times]]=$AO$3,0,MAX(0,ROUND(((Table1221101934465870100[[#This Row],[run 1 times]]-$AO$3)/$AO$3)*$AO$6,2))))</f>
        <v>999.99</v>
      </c>
      <c r="AJ21" s="2">
        <f>_xlfn.LET(_xlpm.x,Table1221101934465870100[[#This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7.5694444444444453E-4</v>
      </c>
      <c r="AK21" s="3">
        <f>IF(Table1221101934465870100[[#This Row],[run2 times]]="",999.99,IF(Table1221101934465870100[[#This Row],[run2 times]]=$AP$3,0,MAX(0,ROUND(((Table1221101934465870100[[#This Row],[run2 times]]-$AP$3)/$AP$3)*$AO$6,2))))</f>
        <v>171.47</v>
      </c>
      <c r="AL21" s="2" t="str">
        <f>IF(OR(Table1221101934465870100[[#This Row],[run 1 times]]="",Table1221101934465870100[[#This Row],[run2 times]]=""),"",Table1221101934465870100[[#This Row],[run 1 times]]+Table1221101934465870100[[#This Row],[run2 times]])</f>
        <v/>
      </c>
      <c r="AM21" s="3">
        <f>IF(Table1221101934465870100[[#This Row],[total time]]="",999.99,IF(Table1221101934465870100[[#This Row],[total time]]=$AQ$3,0,MAX(0,ROUND(((Table1221101934465870100[[#This Row],[total time]]-$AQ$3)/$AQ$3)*$AO$6,2))))</f>
        <v>999.99</v>
      </c>
    </row>
    <row r="22" spans="1:39" x14ac:dyDescent="0.3">
      <c r="A22">
        <v>6</v>
      </c>
      <c r="B22">
        <v>21</v>
      </c>
      <c r="C22" t="s">
        <v>257</v>
      </c>
      <c r="D22" t="s">
        <v>522</v>
      </c>
      <c r="E22" t="s">
        <v>535</v>
      </c>
      <c r="F22">
        <v>2012</v>
      </c>
      <c r="G22" s="1">
        <v>9.8182870370370373E-4</v>
      </c>
      <c r="H22" s="1">
        <v>1.0850694444444445E-3</v>
      </c>
      <c r="I22" s="1">
        <v>2.066898148148148E-3</v>
      </c>
      <c r="K22">
        <v>117000</v>
      </c>
      <c r="L22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9.8182870370370373E-4</v>
      </c>
      <c r="M22" s="3">
        <f>IF(Table127163143556797[[#This Row],[run 1 times]]="",999.99,IF(Table127163143556797[[#This Row],[run 1 times]]=$S$3,0,MAX(0,ROUND(((Table127163143556797[[#This Row],[run 1 times]]-$S$3)/$S$3)*$T$6,2))))</f>
        <v>366.8</v>
      </c>
      <c r="N22" s="2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1.0850694444444445E-3</v>
      </c>
      <c r="O22" s="3">
        <f>IF(Table127163143556797[[#This Row],[run2 times]]="",999.99,IF(Table127163143556797[[#This Row],[run2 times]]=$T$3,0,MAX(0,ROUND(((Table127163143556797[[#This Row],[run2 times]]-$T$3)/$T$3)*$T$6,2))))</f>
        <v>368.88</v>
      </c>
      <c r="P22" s="2">
        <f>IF(OR(Table127163143556797[[#This Row],[run 1 times]]="",Table127163143556797[[#This Row],[run2 times]]=""),"",Table127163143556797[[#This Row],[run 1 times]]+Table127163143556797[[#This Row],[run2 times]])</f>
        <v>2.0668981481481484E-3</v>
      </c>
      <c r="Q22" s="3">
        <f>IF(Table127163143556797[[#This Row],[total time]]="",999.99,IF(Table127163143556797[[#This Row],[total time]]=$U$3,0,MAX(0,ROUND(((Table127163143556797[[#This Row],[total time]]-$U$3)/$U$3)*$T$6,2))))</f>
        <v>367.89</v>
      </c>
      <c r="W22">
        <v>32</v>
      </c>
      <c r="X22">
        <v>128</v>
      </c>
      <c r="Y22" t="s">
        <v>24</v>
      </c>
      <c r="Z22" t="s">
        <v>572</v>
      </c>
      <c r="AA22" t="s">
        <v>559</v>
      </c>
      <c r="AB22">
        <v>2009</v>
      </c>
      <c r="AC22" s="1">
        <v>7.366898148148148E-4</v>
      </c>
      <c r="AD22" s="1" t="s">
        <v>512</v>
      </c>
      <c r="AE22" s="1"/>
      <c r="AG22">
        <v>91622</v>
      </c>
      <c r="AH22" s="2">
        <f>_xlfn.LET(_xlpm.x,Table1221101934465870100[[#This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7.366898148148148E-4</v>
      </c>
      <c r="AI22" s="3">
        <f>IF(Table1221101934465870100[[#This Row],[run 1 times]]="",999.99,IF(Table1221101934465870100[[#This Row],[run 1 times]]=$AO$3,0,MAX(0,ROUND(((Table1221101934465870100[[#This Row],[run 1 times]]-$AO$3)/$AO$3)*$AO$6,2))))</f>
        <v>150.51</v>
      </c>
      <c r="AJ22" s="2" t="str">
        <f>_xlfn.LET(_xlpm.x,Table1221101934465870100[[#This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22" s="3">
        <f>IF(Table1221101934465870100[[#This Row],[run2 times]]="",999.99,IF(Table1221101934465870100[[#This Row],[run2 times]]=$AP$3,0,MAX(0,ROUND(((Table1221101934465870100[[#This Row],[run2 times]]-$AP$3)/$AP$3)*$AO$6,2))))</f>
        <v>999.99</v>
      </c>
      <c r="AL22" s="2" t="str">
        <f>IF(OR(Table1221101934465870100[[#This Row],[run 1 times]]="",Table1221101934465870100[[#This Row],[run2 times]]=""),"",Table1221101934465870100[[#This Row],[run 1 times]]+Table1221101934465870100[[#This Row],[run2 times]])</f>
        <v/>
      </c>
      <c r="AM22" s="3">
        <f>IF(Table1221101934465870100[[#This Row],[total time]]="",999.99,IF(Table1221101934465870100[[#This Row],[total time]]=$AQ$3,0,MAX(0,ROUND(((Table1221101934465870100[[#This Row],[total time]]-$AQ$3)/$AQ$3)*$AO$6,2))))</f>
        <v>999.99</v>
      </c>
    </row>
    <row r="23" spans="1:39" x14ac:dyDescent="0.3">
      <c r="A23">
        <v>5</v>
      </c>
      <c r="B23">
        <v>22</v>
      </c>
      <c r="C23" t="s">
        <v>257</v>
      </c>
      <c r="D23" t="s">
        <v>522</v>
      </c>
      <c r="E23" t="s">
        <v>526</v>
      </c>
      <c r="F23">
        <v>2012</v>
      </c>
      <c r="G23" s="1">
        <v>8.6249999999999999E-4</v>
      </c>
      <c r="H23" s="1">
        <v>9.4340277777777782E-4</v>
      </c>
      <c r="I23" s="1">
        <v>1.8059027777777778E-3</v>
      </c>
      <c r="K23">
        <v>107311</v>
      </c>
      <c r="L23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8.6249999999999999E-4</v>
      </c>
      <c r="M23" s="3">
        <f>IF(Table127163143556797[[#This Row],[run 1 times]]="",999.99,IF(Table127163143556797[[#This Row],[run 1 times]]=$S$3,0,MAX(0,ROUND(((Table127163143556797[[#This Row],[run 1 times]]-$S$3)/$S$3)*$T$6,2))))</f>
        <v>199.47</v>
      </c>
      <c r="N23" s="2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9.4340277777777782E-4</v>
      </c>
      <c r="O23" s="3">
        <f>IF(Table127163143556797[[#This Row],[run2 times]]="",999.99,IF(Table127163143556797[[#This Row],[run2 times]]=$T$3,0,MAX(0,ROUND(((Table127163143556797[[#This Row],[run2 times]]-$T$3)/$T$3)*$T$6,2))))</f>
        <v>188.85</v>
      </c>
      <c r="P23" s="2">
        <f>IF(OR(Table127163143556797[[#This Row],[run 1 times]]="",Table127163143556797[[#This Row],[run2 times]]=""),"",Table127163143556797[[#This Row],[run 1 times]]+Table127163143556797[[#This Row],[run2 times]])</f>
        <v>1.8059027777777778E-3</v>
      </c>
      <c r="Q23" s="3">
        <f>IF(Table127163143556797[[#This Row],[total time]]="",999.99,IF(Table127163143556797[[#This Row],[total time]]=$U$3,0,MAX(0,ROUND(((Table127163143556797[[#This Row],[total time]]-$U$3)/$U$3)*$T$6,2))))</f>
        <v>193.9</v>
      </c>
      <c r="W23">
        <v>31</v>
      </c>
      <c r="X23">
        <v>129</v>
      </c>
      <c r="Y23" t="s">
        <v>373</v>
      </c>
      <c r="Z23" t="s">
        <v>547</v>
      </c>
      <c r="AA23" t="s">
        <v>550</v>
      </c>
      <c r="AB23">
        <v>2010</v>
      </c>
      <c r="AC23" s="1">
        <v>7.0405092592592589E-4</v>
      </c>
      <c r="AD23" s="1">
        <v>7.1886574074074073E-4</v>
      </c>
      <c r="AE23" s="1">
        <v>1.4229166666666667E-3</v>
      </c>
      <c r="AG23">
        <v>102764</v>
      </c>
      <c r="AH23" s="2">
        <f>_xlfn.LET(_xlpm.x,Table1221101934465870100[[#This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7.0405092592592589E-4</v>
      </c>
      <c r="AI23" s="3">
        <f>IF(Table1221101934465870100[[#This Row],[run 1 times]]="",999.99,IF(Table1221101934465870100[[#This Row],[run 1 times]]=$AO$3,0,MAX(0,ROUND(((Table1221101934465870100[[#This Row],[run 1 times]]-$AO$3)/$AO$3)*$AO$6,2))))</f>
        <v>111.5</v>
      </c>
      <c r="AJ23" s="2">
        <f>_xlfn.LET(_xlpm.x,Table1221101934465870100[[#This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7.1886574074074073E-4</v>
      </c>
      <c r="AK23" s="3">
        <f>IF(Table1221101934465870100[[#This Row],[run2 times]]="",999.99,IF(Table1221101934465870100[[#This Row],[run2 times]]=$AP$3,0,MAX(0,ROUND(((Table1221101934465870100[[#This Row],[run2 times]]-$AP$3)/$AP$3)*$AO$6,2))))</f>
        <v>126.12</v>
      </c>
      <c r="AL23" s="2">
        <f>IF(OR(Table1221101934465870100[[#This Row],[run 1 times]]="",Table1221101934465870100[[#This Row],[run2 times]]=""),"",Table1221101934465870100[[#This Row],[run 1 times]]+Table1221101934465870100[[#This Row],[run2 times]])</f>
        <v>1.4229166666666665E-3</v>
      </c>
      <c r="AM23" s="3">
        <f>IF(Table1221101934465870100[[#This Row],[total time]]="",999.99,IF(Table1221101934465870100[[#This Row],[total time]]=$AQ$3,0,MAX(0,ROUND(((Table1221101934465870100[[#This Row],[total time]]-$AQ$3)/$AQ$3)*$AO$6,2))))</f>
        <v>118.5</v>
      </c>
    </row>
    <row r="24" spans="1:39" x14ac:dyDescent="0.3">
      <c r="A24">
        <v>4</v>
      </c>
      <c r="B24">
        <v>23</v>
      </c>
      <c r="C24" t="s">
        <v>851</v>
      </c>
      <c r="D24" t="s">
        <v>522</v>
      </c>
      <c r="E24" t="s">
        <v>860</v>
      </c>
      <c r="F24">
        <v>2012</v>
      </c>
      <c r="G24" s="1" t="s">
        <v>512</v>
      </c>
      <c r="H24" s="1">
        <v>8.4097222222222223E-4</v>
      </c>
      <c r="I24" s="1"/>
      <c r="K24">
        <v>6952703</v>
      </c>
      <c r="L24" s="2" t="str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24" s="3">
        <f>IF(Table127163143556797[[#This Row],[run 1 times]]="",999.99,IF(Table127163143556797[[#This Row],[run 1 times]]=$S$3,0,MAX(0,ROUND(((Table127163143556797[[#This Row],[run 1 times]]-$S$3)/$S$3)*$T$6,2))))</f>
        <v>999.99</v>
      </c>
      <c r="N24" s="2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8.4097222222222223E-4</v>
      </c>
      <c r="O24" s="3">
        <f>IF(Table127163143556797[[#This Row],[run2 times]]="",999.99,IF(Table127163143556797[[#This Row],[run2 times]]=$T$3,0,MAX(0,ROUND(((Table127163143556797[[#This Row],[run2 times]]-$T$3)/$T$3)*$T$6,2))))</f>
        <v>58.69</v>
      </c>
      <c r="P24" s="2" t="str">
        <f>IF(OR(Table127163143556797[[#This Row],[run 1 times]]="",Table127163143556797[[#This Row],[run2 times]]=""),"",Table127163143556797[[#This Row],[run 1 times]]+Table127163143556797[[#This Row],[run2 times]])</f>
        <v/>
      </c>
      <c r="Q24" s="3">
        <f>IF(Table127163143556797[[#This Row],[total time]]="",999.99,IF(Table127163143556797[[#This Row],[total time]]=$U$3,0,MAX(0,ROUND(((Table127163143556797[[#This Row],[total time]]-$U$3)/$U$3)*$T$6,2))))</f>
        <v>999.99</v>
      </c>
      <c r="W24">
        <v>30</v>
      </c>
      <c r="X24">
        <v>130</v>
      </c>
      <c r="Y24" t="s">
        <v>487</v>
      </c>
      <c r="Z24" t="s">
        <v>547</v>
      </c>
      <c r="AA24" t="s">
        <v>833</v>
      </c>
      <c r="AB24">
        <v>2011</v>
      </c>
      <c r="AC24" s="1">
        <v>58.89</v>
      </c>
      <c r="AD24" s="1">
        <v>59.4</v>
      </c>
      <c r="AE24" s="1">
        <v>1.3690972222222221E-3</v>
      </c>
      <c r="AG24">
        <v>94578</v>
      </c>
      <c r="AH24" s="2">
        <f>_xlfn.LET(_xlpm.x,Table1221101934465870100[[#This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6.8159722222222222E-4</v>
      </c>
      <c r="AI24" s="3">
        <f>IF(Table1221101934465870100[[#This Row],[run 1 times]]="",999.99,IF(Table1221101934465870100[[#This Row],[run 1 times]]=$AO$3,0,MAX(0,ROUND(((Table1221101934465870100[[#This Row],[run 1 times]]-$AO$3)/$AO$3)*$AO$6,2))))</f>
        <v>84.66</v>
      </c>
      <c r="AJ24" s="2">
        <f>_xlfn.LET(_xlpm.x,Table1221101934465870100[[#This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6.8749999999999996E-4</v>
      </c>
      <c r="AK24" s="3">
        <f>IF(Table1221101934465870100[[#This Row],[run2 times]]="",999.99,IF(Table1221101934465870100[[#This Row],[run2 times]]=$AP$3,0,MAX(0,ROUND(((Table1221101934465870100[[#This Row],[run2 times]]-$AP$3)/$AP$3)*$AO$6,2))))</f>
        <v>88.77</v>
      </c>
      <c r="AL24" s="2">
        <f>IF(OR(Table1221101934465870100[[#This Row],[run 1 times]]="",Table1221101934465870100[[#This Row],[run2 times]]=""),"",Table1221101934465870100[[#This Row],[run 1 times]]+Table1221101934465870100[[#This Row],[run2 times]])</f>
        <v>1.3690972222222221E-3</v>
      </c>
      <c r="AM24" s="3">
        <f>IF(Table1221101934465870100[[#This Row],[total time]]="",999.99,IF(Table1221101934465870100[[#This Row],[total time]]=$AQ$3,0,MAX(0,ROUND(((Table1221101934465870100[[#This Row],[total time]]-$AQ$3)/$AQ$3)*$AO$6,2))))</f>
        <v>86.41</v>
      </c>
    </row>
    <row r="25" spans="1:39" x14ac:dyDescent="0.3">
      <c r="A25">
        <v>3</v>
      </c>
      <c r="B25">
        <v>24</v>
      </c>
      <c r="C25" t="s">
        <v>257</v>
      </c>
      <c r="D25" t="s">
        <v>480</v>
      </c>
      <c r="E25" t="s">
        <v>861</v>
      </c>
      <c r="F25">
        <v>2014</v>
      </c>
      <c r="G25" s="1">
        <v>9.6944444444444454E-4</v>
      </c>
      <c r="H25" s="1">
        <v>1.0993055555555554E-3</v>
      </c>
      <c r="I25" s="1">
        <v>2.0687500000000003E-3</v>
      </c>
      <c r="K25">
        <v>120660</v>
      </c>
      <c r="L25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9.6944444444444454E-4</v>
      </c>
      <c r="M25" s="3">
        <f>IF(Table127163143556797[[#This Row],[run 1 times]]="",999.99,IF(Table127163143556797[[#This Row],[run 1 times]]=$S$3,0,MAX(0,ROUND(((Table127163143556797[[#This Row],[run 1 times]]-$S$3)/$S$3)*$T$6,2))))</f>
        <v>349.43</v>
      </c>
      <c r="N25" s="2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1.0993055555555554E-3</v>
      </c>
      <c r="O25" s="3">
        <f>IF(Table127163143556797[[#This Row],[run2 times]]="",999.99,IF(Table127163143556797[[#This Row],[run2 times]]=$T$3,0,MAX(0,ROUND(((Table127163143556797[[#This Row],[run2 times]]-$T$3)/$T$3)*$T$6,2))))</f>
        <v>386.97</v>
      </c>
      <c r="P25" s="2">
        <f>IF(OR(Table127163143556797[[#This Row],[run 1 times]]="",Table127163143556797[[#This Row],[run2 times]]=""),"",Table127163143556797[[#This Row],[run 1 times]]+Table127163143556797[[#This Row],[run2 times]])</f>
        <v>2.0687499999999998E-3</v>
      </c>
      <c r="Q25" s="3">
        <f>IF(Table127163143556797[[#This Row],[total time]]="",999.99,IF(Table127163143556797[[#This Row],[total time]]=$U$3,0,MAX(0,ROUND(((Table127163143556797[[#This Row],[total time]]-$U$3)/$U$3)*$T$6,2))))</f>
        <v>369.12</v>
      </c>
      <c r="W25">
        <v>29</v>
      </c>
      <c r="X25">
        <v>131</v>
      </c>
      <c r="Y25" t="s">
        <v>479</v>
      </c>
      <c r="Z25" t="s">
        <v>547</v>
      </c>
      <c r="AA25" t="s">
        <v>563</v>
      </c>
      <c r="AB25">
        <v>2010</v>
      </c>
      <c r="AC25" s="1">
        <v>7.8738425925925927E-4</v>
      </c>
      <c r="AD25" s="1">
        <v>8.0671296296296296E-4</v>
      </c>
      <c r="AE25" s="1">
        <v>1.594097222222222E-3</v>
      </c>
      <c r="AG25">
        <v>102356</v>
      </c>
      <c r="AH25" s="2">
        <f>_xlfn.LET(_xlpm.x,Table1221101934465870100[[#This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7.8738425925925927E-4</v>
      </c>
      <c r="AI25" s="3">
        <f>IF(Table1221101934465870100[[#This Row],[run 1 times]]="",999.99,IF(Table1221101934465870100[[#This Row],[run 1 times]]=$AO$3,0,MAX(0,ROUND(((Table1221101934465870100[[#This Row],[run 1 times]]-$AO$3)/$AO$3)*$AO$6,2))))</f>
        <v>211.1</v>
      </c>
      <c r="AJ25" s="2">
        <f>_xlfn.LET(_xlpm.x,Table1221101934465870100[[#This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8.0671296296296296E-4</v>
      </c>
      <c r="AK25" s="3">
        <f>IF(Table1221101934465870100[[#This Row],[run2 times]]="",999.99,IF(Table1221101934465870100[[#This Row],[run2 times]]=$AP$3,0,MAX(0,ROUND(((Table1221101934465870100[[#This Row],[run2 times]]-$AP$3)/$AP$3)*$AO$6,2))))</f>
        <v>230.74</v>
      </c>
      <c r="AL25" s="2">
        <f>IF(OR(Table1221101934465870100[[#This Row],[run 1 times]]="",Table1221101934465870100[[#This Row],[run2 times]]=""),"",Table1221101934465870100[[#This Row],[run 1 times]]+Table1221101934465870100[[#This Row],[run2 times]])</f>
        <v>1.5940972222222222E-3</v>
      </c>
      <c r="AM25" s="3">
        <f>IF(Table1221101934465870100[[#This Row],[total time]]="",999.99,IF(Table1221101934465870100[[#This Row],[total time]]=$AQ$3,0,MAX(0,ROUND(((Table1221101934465870100[[#This Row],[total time]]-$AQ$3)/$AQ$3)*$AO$6,2))))</f>
        <v>220.58</v>
      </c>
    </row>
    <row r="26" spans="1:39" x14ac:dyDescent="0.3">
      <c r="A26">
        <v>2</v>
      </c>
      <c r="B26">
        <v>25</v>
      </c>
      <c r="C26" t="s">
        <v>851</v>
      </c>
      <c r="D26" t="s">
        <v>522</v>
      </c>
      <c r="E26" t="s">
        <v>862</v>
      </c>
      <c r="F26">
        <v>2012</v>
      </c>
      <c r="G26" s="1">
        <v>7.4212962962962969E-4</v>
      </c>
      <c r="H26" s="1">
        <v>7.9918981481481475E-4</v>
      </c>
      <c r="I26" s="1">
        <v>1.5413194444444443E-3</v>
      </c>
      <c r="K26">
        <v>7226454</v>
      </c>
      <c r="L26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7.4212962962962969E-4</v>
      </c>
      <c r="M26" s="3">
        <f>IF(Table127163143556797[[#This Row],[run 1 times]]="",999.99,IF(Table127163143556797[[#This Row],[run 1 times]]=$S$3,0,MAX(0,ROUND(((Table127163143556797[[#This Row],[run 1 times]]-$S$3)/$S$3)*$T$6,2))))</f>
        <v>30.67</v>
      </c>
      <c r="N26" s="2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7.9918981481481475E-4</v>
      </c>
      <c r="O26" s="3">
        <f>IF(Table127163143556797[[#This Row],[run2 times]]="",999.99,IF(Table127163143556797[[#This Row],[run2 times]]=$T$3,0,MAX(0,ROUND(((Table127163143556797[[#This Row],[run2 times]]-$T$3)/$T$3)*$T$6,2))))</f>
        <v>5.59</v>
      </c>
      <c r="P26" s="2">
        <f>IF(OR(Table127163143556797[[#This Row],[run 1 times]]="",Table127163143556797[[#This Row],[run2 times]]=""),"",Table127163143556797[[#This Row],[run 1 times]]+Table127163143556797[[#This Row],[run2 times]])</f>
        <v>1.5413194444444446E-3</v>
      </c>
      <c r="Q26" s="3">
        <f>IF(Table127163143556797[[#This Row],[total time]]="",999.99,IF(Table127163143556797[[#This Row],[total time]]=$U$3,0,MAX(0,ROUND(((Table127163143556797[[#This Row],[total time]]-$U$3)/$U$3)*$T$6,2))))</f>
        <v>17.510000000000002</v>
      </c>
      <c r="W26">
        <v>28</v>
      </c>
      <c r="X26">
        <v>132</v>
      </c>
      <c r="Y26" t="s">
        <v>479</v>
      </c>
      <c r="Z26" t="s">
        <v>547</v>
      </c>
      <c r="AA26" t="s">
        <v>551</v>
      </c>
      <c r="AB26">
        <v>2010</v>
      </c>
      <c r="AC26" s="1">
        <v>56.47</v>
      </c>
      <c r="AD26" s="1">
        <v>58.34</v>
      </c>
      <c r="AE26" s="1">
        <v>1.3288194444444445E-3</v>
      </c>
      <c r="AG26">
        <v>89878</v>
      </c>
      <c r="AH26" s="2">
        <f>_xlfn.LET(_xlpm.x,Table1221101934465870100[[#This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6.5358796296296291E-4</v>
      </c>
      <c r="AI26" s="3">
        <f>IF(Table1221101934465870100[[#This Row],[run 1 times]]="",999.99,IF(Table1221101934465870100[[#This Row],[run 1 times]]=$AO$3,0,MAX(0,ROUND(((Table1221101934465870100[[#This Row],[run 1 times]]-$AO$3)/$AO$3)*$AO$6,2))))</f>
        <v>51.18</v>
      </c>
      <c r="AJ26" s="2">
        <f>_xlfn.LET(_xlpm.x,Table1221101934465870100[[#This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6.7523148148148152E-4</v>
      </c>
      <c r="AK26" s="3">
        <f>IF(Table1221101934465870100[[#This Row],[run2 times]]="",999.99,IF(Table1221101934465870100[[#This Row],[run2 times]]=$AP$3,0,MAX(0,ROUND(((Table1221101934465870100[[#This Row],[run2 times]]-$AP$3)/$AP$3)*$AO$6,2))))</f>
        <v>74.16</v>
      </c>
      <c r="AL26" s="2">
        <f>IF(OR(Table1221101934465870100[[#This Row],[run 1 times]]="",Table1221101934465870100[[#This Row],[run2 times]]=""),"",Table1221101934465870100[[#This Row],[run 1 times]]+Table1221101934465870100[[#This Row],[run2 times]])</f>
        <v>1.3288194444444445E-3</v>
      </c>
      <c r="AM26" s="3">
        <f>IF(Table1221101934465870100[[#This Row],[total time]]="",999.99,IF(Table1221101934465870100[[#This Row],[total time]]=$AQ$3,0,MAX(0,ROUND(((Table1221101934465870100[[#This Row],[total time]]-$AQ$3)/$AQ$3)*$AO$6,2))))</f>
        <v>62.39</v>
      </c>
    </row>
    <row r="27" spans="1:39" x14ac:dyDescent="0.3">
      <c r="A27">
        <v>1</v>
      </c>
      <c r="B27">
        <v>26</v>
      </c>
      <c r="C27" t="s">
        <v>487</v>
      </c>
      <c r="D27" t="s">
        <v>480</v>
      </c>
      <c r="E27" t="s">
        <v>488</v>
      </c>
      <c r="F27">
        <v>2014</v>
      </c>
      <c r="G27" s="1">
        <v>9.9849537037037029E-4</v>
      </c>
      <c r="H27" s="1">
        <v>1.1138888888888891E-3</v>
      </c>
      <c r="I27" s="1">
        <v>2.1123842592592592E-3</v>
      </c>
      <c r="K27">
        <v>108842</v>
      </c>
      <c r="L27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9.9849537037037029E-4</v>
      </c>
      <c r="M27" s="3">
        <f>IF(Table127163143556797[[#This Row],[run 1 times]]="",999.99,IF(Table127163143556797[[#This Row],[run 1 times]]=$S$3,0,MAX(0,ROUND(((Table127163143556797[[#This Row],[run 1 times]]-$S$3)/$S$3)*$T$6,2))))</f>
        <v>390.17</v>
      </c>
      <c r="N27" s="2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1.1138888888888891E-3</v>
      </c>
      <c r="O27" s="3">
        <f>IF(Table127163143556797[[#This Row],[run2 times]]="",999.99,IF(Table127163143556797[[#This Row],[run2 times]]=$T$3,0,MAX(0,ROUND(((Table127163143556797[[#This Row],[run2 times]]-$T$3)/$T$3)*$T$6,2))))</f>
        <v>405.5</v>
      </c>
      <c r="P27" s="2">
        <f>IF(OR(Table127163143556797[[#This Row],[run 1 times]]="",Table127163143556797[[#This Row],[run2 times]]=""),"",Table127163143556797[[#This Row],[run 1 times]]+Table127163143556797[[#This Row],[run2 times]])</f>
        <v>2.1123842592592592E-3</v>
      </c>
      <c r="Q27" s="3">
        <f>IF(Table127163143556797[[#This Row],[total time]]="",999.99,IF(Table127163143556797[[#This Row],[total time]]=$U$3,0,MAX(0,ROUND(((Table127163143556797[[#This Row],[total time]]-$U$3)/$U$3)*$T$6,2))))</f>
        <v>398.21</v>
      </c>
      <c r="W27">
        <v>27</v>
      </c>
      <c r="X27">
        <v>133</v>
      </c>
      <c r="Y27" t="s">
        <v>479</v>
      </c>
      <c r="Z27" t="s">
        <v>547</v>
      </c>
      <c r="AA27" t="s">
        <v>561</v>
      </c>
      <c r="AB27">
        <v>2011</v>
      </c>
      <c r="AC27" s="1">
        <v>58.12</v>
      </c>
      <c r="AD27" s="1">
        <v>59.41</v>
      </c>
      <c r="AE27" s="1">
        <v>1.360300925925926E-3</v>
      </c>
      <c r="AG27">
        <v>101426</v>
      </c>
      <c r="AH27" s="2">
        <f>_xlfn.LET(_xlpm.x,Table1221101934465870100[[#This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6.7268518518518513E-4</v>
      </c>
      <c r="AI27" s="3">
        <f>IF(Table1221101934465870100[[#This Row],[run 1 times]]="",999.99,IF(Table1221101934465870100[[#This Row],[run 1 times]]=$AO$3,0,MAX(0,ROUND(((Table1221101934465870100[[#This Row],[run 1 times]]-$AO$3)/$AO$3)*$AO$6,2))))</f>
        <v>74.010000000000005</v>
      </c>
      <c r="AJ27" s="2">
        <f>_xlfn.LET(_xlpm.x,Table1221101934465870100[[#This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6.876157407407407E-4</v>
      </c>
      <c r="AK27" s="3">
        <f>IF(Table1221101934465870100[[#This Row],[run2 times]]="",999.99,IF(Table1221101934465870100[[#This Row],[run2 times]]=$AP$3,0,MAX(0,ROUND(((Table1221101934465870100[[#This Row],[run2 times]]-$AP$3)/$AP$3)*$AO$6,2))))</f>
        <v>88.91</v>
      </c>
      <c r="AL27" s="2">
        <f>IF(OR(Table1221101934465870100[[#This Row],[run 1 times]]="",Table1221101934465870100[[#This Row],[run2 times]]=""),"",Table1221101934465870100[[#This Row],[run 1 times]]+Table1221101934465870100[[#This Row],[run2 times]])</f>
        <v>1.3603009259259258E-3</v>
      </c>
      <c r="AM27" s="3">
        <f>IF(Table1221101934465870100[[#This Row],[total time]]="",999.99,IF(Table1221101934465870100[[#This Row],[total time]]=$AQ$3,0,MAX(0,ROUND(((Table1221101934465870100[[#This Row],[total time]]-$AQ$3)/$AQ$3)*$AO$6,2))))</f>
        <v>81.16</v>
      </c>
    </row>
    <row r="28" spans="1:39" x14ac:dyDescent="0.3">
      <c r="A28">
        <v>52</v>
      </c>
      <c r="B28">
        <v>27</v>
      </c>
      <c r="C28" t="s">
        <v>487</v>
      </c>
      <c r="D28" t="s">
        <v>522</v>
      </c>
      <c r="E28" t="s">
        <v>863</v>
      </c>
      <c r="F28">
        <v>2012</v>
      </c>
      <c r="G28" s="1">
        <v>9.5613425925925922E-4</v>
      </c>
      <c r="H28" s="1">
        <v>9.6574074074074075E-4</v>
      </c>
      <c r="I28" s="1">
        <v>1.9218750000000002E-3</v>
      </c>
      <c r="K28">
        <v>91186</v>
      </c>
      <c r="L28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9.5613425925925922E-4</v>
      </c>
      <c r="M28" s="3">
        <f>IF(Table127163143556797[[#This Row],[run 1 times]]="",999.99,IF(Table127163143556797[[#This Row],[run 1 times]]=$S$3,0,MAX(0,ROUND(((Table127163143556797[[#This Row],[run 1 times]]-$S$3)/$S$3)*$T$6,2))))</f>
        <v>330.77</v>
      </c>
      <c r="N28" s="2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9.6574074074074075E-4</v>
      </c>
      <c r="O28" s="3">
        <f>IF(Table127163143556797[[#This Row],[run2 times]]="",999.99,IF(Table127163143556797[[#This Row],[run2 times]]=$T$3,0,MAX(0,ROUND(((Table127163143556797[[#This Row],[run2 times]]-$T$3)/$T$3)*$T$6,2))))</f>
        <v>217.24</v>
      </c>
      <c r="P28" s="2">
        <f>IF(OR(Table127163143556797[[#This Row],[run 1 times]]="",Table127163143556797[[#This Row],[run2 times]]=""),"",Table127163143556797[[#This Row],[run 1 times]]+Table127163143556797[[#This Row],[run2 times]])</f>
        <v>1.921875E-3</v>
      </c>
      <c r="Q28" s="3">
        <f>IF(Table127163143556797[[#This Row],[total time]]="",999.99,IF(Table127163143556797[[#This Row],[total time]]=$U$3,0,MAX(0,ROUND(((Table127163143556797[[#This Row],[total time]]-$U$3)/$U$3)*$T$6,2))))</f>
        <v>271.20999999999998</v>
      </c>
      <c r="W28">
        <v>26</v>
      </c>
      <c r="X28">
        <v>134</v>
      </c>
      <c r="Y28" t="s">
        <v>479</v>
      </c>
      <c r="Z28" t="s">
        <v>547</v>
      </c>
      <c r="AA28" t="s">
        <v>579</v>
      </c>
      <c r="AB28">
        <v>2011</v>
      </c>
      <c r="AC28" s="1">
        <v>59.08</v>
      </c>
      <c r="AD28" s="1">
        <v>58.45</v>
      </c>
      <c r="AE28" s="1">
        <v>1.360300925925926E-3</v>
      </c>
      <c r="AG28">
        <v>89870</v>
      </c>
      <c r="AH28" s="2">
        <f>_xlfn.LET(_xlpm.x,Table1221101934465870100[[#This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6.8379629629629628E-4</v>
      </c>
      <c r="AI28" s="3">
        <f>IF(Table1221101934465870100[[#This Row],[run 1 times]]="",999.99,IF(Table1221101934465870100[[#This Row],[run 1 times]]=$AO$3,0,MAX(0,ROUND(((Table1221101934465870100[[#This Row],[run 1 times]]-$AO$3)/$AO$3)*$AO$6,2))))</f>
        <v>87.29</v>
      </c>
      <c r="AJ28" s="2">
        <f>_xlfn.LET(_xlpm.x,Table1221101934465870100[[#This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6.7650462962962966E-4</v>
      </c>
      <c r="AK28" s="3">
        <f>IF(Table1221101934465870100[[#This Row],[run2 times]]="",999.99,IF(Table1221101934465870100[[#This Row],[run2 times]]=$AP$3,0,MAX(0,ROUND(((Table1221101934465870100[[#This Row],[run2 times]]-$AP$3)/$AP$3)*$AO$6,2))))</f>
        <v>75.67</v>
      </c>
      <c r="AL28" s="2">
        <f>IF(OR(Table1221101934465870100[[#This Row],[run 1 times]]="",Table1221101934465870100[[#This Row],[run2 times]]=""),"",Table1221101934465870100[[#This Row],[run 1 times]]+Table1221101934465870100[[#This Row],[run2 times]])</f>
        <v>1.3603009259259258E-3</v>
      </c>
      <c r="AM28" s="3">
        <f>IF(Table1221101934465870100[[#This Row],[total time]]="",999.99,IF(Table1221101934465870100[[#This Row],[total time]]=$AQ$3,0,MAX(0,ROUND(((Table1221101934465870100[[#This Row],[total time]]-$AQ$3)/$AQ$3)*$AO$6,2))))</f>
        <v>81.16</v>
      </c>
    </row>
    <row r="29" spans="1:39" x14ac:dyDescent="0.3">
      <c r="A29">
        <v>51</v>
      </c>
      <c r="B29">
        <v>28</v>
      </c>
      <c r="C29" t="s">
        <v>24</v>
      </c>
      <c r="D29" t="s">
        <v>522</v>
      </c>
      <c r="E29" t="s">
        <v>525</v>
      </c>
      <c r="F29">
        <v>2012</v>
      </c>
      <c r="G29" s="1">
        <v>8.2893518518518527E-4</v>
      </c>
      <c r="H29" s="1">
        <v>8.7175925925925919E-4</v>
      </c>
      <c r="I29" s="1">
        <v>1.7006944444444443E-3</v>
      </c>
      <c r="K29">
        <v>93740</v>
      </c>
      <c r="L29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8.2893518518518527E-4</v>
      </c>
      <c r="M29" s="3">
        <f>IF(Table127163143556797[[#This Row],[run 1 times]]="",999.99,IF(Table127163143556797[[#This Row],[run 1 times]]=$S$3,0,MAX(0,ROUND(((Table127163143556797[[#This Row],[run 1 times]]-$S$3)/$S$3)*$T$6,2))))</f>
        <v>152.4</v>
      </c>
      <c r="N29" s="2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8.7175925925925919E-4</v>
      </c>
      <c r="O29" s="3">
        <f>IF(Table127163143556797[[#This Row],[run2 times]]="",999.99,IF(Table127163143556797[[#This Row],[run2 times]]=$T$3,0,MAX(0,ROUND(((Table127163143556797[[#This Row],[run2 times]]-$T$3)/$T$3)*$T$6,2))))</f>
        <v>97.81</v>
      </c>
      <c r="P29" s="2">
        <f>IF(OR(Table127163143556797[[#This Row],[run 1 times]]="",Table127163143556797[[#This Row],[run2 times]]=""),"",Table127163143556797[[#This Row],[run 1 times]]+Table127163143556797[[#This Row],[run2 times]])</f>
        <v>1.7006944444444443E-3</v>
      </c>
      <c r="Q29" s="3">
        <f>IF(Table127163143556797[[#This Row],[total time]]="",999.99,IF(Table127163143556797[[#This Row],[total time]]=$U$3,0,MAX(0,ROUND(((Table127163143556797[[#This Row],[total time]]-$U$3)/$U$3)*$T$6,2))))</f>
        <v>123.76</v>
      </c>
      <c r="W29">
        <v>25</v>
      </c>
      <c r="X29">
        <v>135</v>
      </c>
      <c r="Y29" t="s">
        <v>223</v>
      </c>
      <c r="Z29" t="s">
        <v>572</v>
      </c>
      <c r="AA29" t="s">
        <v>569</v>
      </c>
      <c r="AB29">
        <v>2008</v>
      </c>
      <c r="AC29" s="1">
        <v>55.81</v>
      </c>
      <c r="AD29" s="1">
        <v>57.47</v>
      </c>
      <c r="AE29" s="1">
        <v>1.3111111111111112E-3</v>
      </c>
      <c r="AG29">
        <v>85061</v>
      </c>
      <c r="AH29" s="2">
        <f>_xlfn.LET(_xlpm.x,Table1221101934465870100[[#This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6.4594907407407407E-4</v>
      </c>
      <c r="AI29" s="3">
        <f>IF(Table1221101934465870100[[#This Row],[run 1 times]]="",999.99,IF(Table1221101934465870100[[#This Row],[run 1 times]]=$AO$3,0,MAX(0,ROUND(((Table1221101934465870100[[#This Row],[run 1 times]]-$AO$3)/$AO$3)*$AO$6,2))))</f>
        <v>42.05</v>
      </c>
      <c r="AJ29" s="2">
        <f>_xlfn.LET(_xlpm.x,Table1221101934465870100[[#This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6.6516203703703702E-4</v>
      </c>
      <c r="AK29" s="3">
        <f>IF(Table1221101934465870100[[#This Row],[run2 times]]="",999.99,IF(Table1221101934465870100[[#This Row],[run2 times]]=$AP$3,0,MAX(0,ROUND(((Table1221101934465870100[[#This Row],[run2 times]]-$AP$3)/$AP$3)*$AO$6,2))))</f>
        <v>62.17</v>
      </c>
      <c r="AL29" s="2">
        <f>IF(OR(Table1221101934465870100[[#This Row],[run 1 times]]="",Table1221101934465870100[[#This Row],[run2 times]]=""),"",Table1221101934465870100[[#This Row],[run 1 times]]+Table1221101934465870100[[#This Row],[run2 times]])</f>
        <v>1.311111111111111E-3</v>
      </c>
      <c r="AM29" s="3">
        <f>IF(Table1221101934465870100[[#This Row],[total time]]="",999.99,IF(Table1221101934465870100[[#This Row],[total time]]=$AQ$3,0,MAX(0,ROUND(((Table1221101934465870100[[#This Row],[total time]]-$AQ$3)/$AQ$3)*$AO$6,2))))</f>
        <v>51.83</v>
      </c>
    </row>
    <row r="30" spans="1:39" x14ac:dyDescent="0.3">
      <c r="A30">
        <v>48</v>
      </c>
      <c r="B30">
        <v>32</v>
      </c>
      <c r="C30" t="s">
        <v>487</v>
      </c>
      <c r="D30" t="s">
        <v>480</v>
      </c>
      <c r="E30" t="s">
        <v>514</v>
      </c>
      <c r="F30">
        <v>2014</v>
      </c>
      <c r="G30" s="1">
        <v>8.5844907407407408E-4</v>
      </c>
      <c r="H30" s="1">
        <v>9.4016203703703709E-4</v>
      </c>
      <c r="I30" s="1">
        <v>1.7986111111111111E-3</v>
      </c>
      <c r="K30">
        <v>108289</v>
      </c>
      <c r="L30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8.5844907407407408E-4</v>
      </c>
      <c r="M30" s="3">
        <f>IF(Table127163143556797[[#This Row],[run 1 times]]="",999.99,IF(Table127163143556797[[#This Row],[run 1 times]]=$S$3,0,MAX(0,ROUND(((Table127163143556797[[#This Row],[run 1 times]]-$S$3)/$S$3)*$T$6,2))))</f>
        <v>193.79</v>
      </c>
      <c r="N30" s="2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9.4016203703703709E-4</v>
      </c>
      <c r="O30" s="3">
        <f>IF(Table127163143556797[[#This Row],[run2 times]]="",999.99,IF(Table127163143556797[[#This Row],[run2 times]]=$T$3,0,MAX(0,ROUND(((Table127163143556797[[#This Row],[run2 times]]-$T$3)/$T$3)*$T$6,2))))</f>
        <v>184.73</v>
      </c>
      <c r="P30" s="2">
        <f>IF(OR(Table127163143556797[[#This Row],[run 1 times]]="",Table127163143556797[[#This Row],[run2 times]]=""),"",Table127163143556797[[#This Row],[run 1 times]]+Table127163143556797[[#This Row],[run2 times]])</f>
        <v>1.7986111111111111E-3</v>
      </c>
      <c r="Q30" s="3">
        <f>IF(Table127163143556797[[#This Row],[total time]]="",999.99,IF(Table127163143556797[[#This Row],[total time]]=$U$3,0,MAX(0,ROUND(((Table127163143556797[[#This Row],[total time]]-$U$3)/$U$3)*$T$6,2))))</f>
        <v>189.04</v>
      </c>
      <c r="W30">
        <v>24</v>
      </c>
      <c r="X30">
        <v>136</v>
      </c>
      <c r="Y30" t="s">
        <v>257</v>
      </c>
      <c r="Z30" t="s">
        <v>572</v>
      </c>
      <c r="AA30" t="s">
        <v>558</v>
      </c>
      <c r="AB30">
        <v>2009</v>
      </c>
      <c r="AC30" s="1" t="s">
        <v>510</v>
      </c>
      <c r="AD30" s="1" t="s">
        <v>512</v>
      </c>
      <c r="AE30" s="1"/>
      <c r="AG30">
        <v>109211</v>
      </c>
      <c r="AH30" s="2" t="str">
        <f>_xlfn.LET(_xlpm.x,Table1221101934465870100[[#This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30" s="3">
        <f>IF(Table1221101934465870100[[#This Row],[run 1 times]]="",999.99,IF(Table1221101934465870100[[#This Row],[run 1 times]]=$AO$3,0,MAX(0,ROUND(((Table1221101934465870100[[#This Row],[run 1 times]]-$AO$3)/$AO$3)*$AO$6,2))))</f>
        <v>999.99</v>
      </c>
      <c r="AJ30" s="2" t="str">
        <f>_xlfn.LET(_xlpm.x,Table1221101934465870100[[#This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30" s="3">
        <f>IF(Table1221101934465870100[[#This Row],[run2 times]]="",999.99,IF(Table1221101934465870100[[#This Row],[run2 times]]=$AP$3,0,MAX(0,ROUND(((Table1221101934465870100[[#This Row],[run2 times]]-$AP$3)/$AP$3)*$AO$6,2))))</f>
        <v>999.99</v>
      </c>
      <c r="AL30" s="2" t="str">
        <f>IF(OR(Table1221101934465870100[[#This Row],[run 1 times]]="",Table1221101934465870100[[#This Row],[run2 times]]=""),"",Table1221101934465870100[[#This Row],[run 1 times]]+Table1221101934465870100[[#This Row],[run2 times]])</f>
        <v/>
      </c>
      <c r="AM30" s="3">
        <f>IF(Table1221101934465870100[[#This Row],[total time]]="",999.99,IF(Table1221101934465870100[[#This Row],[total time]]=$AQ$3,0,MAX(0,ROUND(((Table1221101934465870100[[#This Row],[total time]]-$AQ$3)/$AQ$3)*$AO$6,2))))</f>
        <v>999.99</v>
      </c>
    </row>
    <row r="31" spans="1:39" x14ac:dyDescent="0.3">
      <c r="A31">
        <v>47</v>
      </c>
      <c r="B31">
        <v>33</v>
      </c>
      <c r="C31" t="s">
        <v>24</v>
      </c>
      <c r="D31" t="s">
        <v>522</v>
      </c>
      <c r="E31" t="s">
        <v>524</v>
      </c>
      <c r="F31">
        <v>2012</v>
      </c>
      <c r="G31" s="1">
        <v>8.3356481481481476E-4</v>
      </c>
      <c r="H31" s="1">
        <v>9.1643518518518528E-4</v>
      </c>
      <c r="I31" s="1">
        <v>1.7499999999999998E-3</v>
      </c>
      <c r="K31">
        <v>93755</v>
      </c>
      <c r="L31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8.3356481481481476E-4</v>
      </c>
      <c r="M31" s="3">
        <f>IF(Table127163143556797[[#This Row],[run 1 times]]="",999.99,IF(Table127163143556797[[#This Row],[run 1 times]]=$S$3,0,MAX(0,ROUND(((Table127163143556797[[#This Row],[run 1 times]]-$S$3)/$S$3)*$T$6,2))))</f>
        <v>158.88999999999999</v>
      </c>
      <c r="N31" s="2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9.1643518518518528E-4</v>
      </c>
      <c r="O31" s="3">
        <f>IF(Table127163143556797[[#This Row],[run2 times]]="",999.99,IF(Table127163143556797[[#This Row],[run2 times]]=$T$3,0,MAX(0,ROUND(((Table127163143556797[[#This Row],[run2 times]]-$T$3)/$T$3)*$T$6,2))))</f>
        <v>154.58000000000001</v>
      </c>
      <c r="P31" s="2">
        <f>IF(OR(Table127163143556797[[#This Row],[run 1 times]]="",Table127163143556797[[#This Row],[run2 times]]=""),"",Table127163143556797[[#This Row],[run 1 times]]+Table127163143556797[[#This Row],[run2 times]])</f>
        <v>1.75E-3</v>
      </c>
      <c r="Q31" s="3">
        <f>IF(Table127163143556797[[#This Row],[total time]]="",999.99,IF(Table127163143556797[[#This Row],[total time]]=$U$3,0,MAX(0,ROUND(((Table127163143556797[[#This Row],[total time]]-$U$3)/$U$3)*$T$6,2))))</f>
        <v>156.63</v>
      </c>
      <c r="W31">
        <v>23</v>
      </c>
      <c r="X31">
        <v>137</v>
      </c>
      <c r="Y31" t="s">
        <v>479</v>
      </c>
      <c r="Z31" t="s">
        <v>547</v>
      </c>
      <c r="AA31" t="s">
        <v>557</v>
      </c>
      <c r="AB31">
        <v>2010</v>
      </c>
      <c r="AC31" s="1">
        <v>59.37</v>
      </c>
      <c r="AD31" s="1">
        <v>57.6</v>
      </c>
      <c r="AE31" s="1">
        <v>1.3538194444444444E-3</v>
      </c>
      <c r="AG31">
        <v>89874</v>
      </c>
      <c r="AH31" s="2">
        <f>_xlfn.LET(_xlpm.x,Table1221101934465870100[[#This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6.8715277777777774E-4</v>
      </c>
      <c r="AI31" s="3">
        <f>IF(Table1221101934465870100[[#This Row],[run 1 times]]="",999.99,IF(Table1221101934465870100[[#This Row],[run 1 times]]=$AO$3,0,MAX(0,ROUND(((Table1221101934465870100[[#This Row],[run 1 times]]-$AO$3)/$AO$3)*$AO$6,2))))</f>
        <v>91.3</v>
      </c>
      <c r="AJ31" s="2">
        <f>_xlfn.LET(_xlpm.x,Table1221101934465870100[[#This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6.6666666666666664E-4</v>
      </c>
      <c r="AK31" s="3">
        <f>IF(Table1221101934465870100[[#This Row],[run2 times]]="",999.99,IF(Table1221101934465870100[[#This Row],[run2 times]]=$AP$3,0,MAX(0,ROUND(((Table1221101934465870100[[#This Row],[run2 times]]-$AP$3)/$AP$3)*$AO$6,2))))</f>
        <v>63.96</v>
      </c>
      <c r="AL31" s="2">
        <f>IF(OR(Table1221101934465870100[[#This Row],[run 1 times]]="",Table1221101934465870100[[#This Row],[run2 times]]=""),"",Table1221101934465870100[[#This Row],[run 1 times]]+Table1221101934465870100[[#This Row],[run2 times]])</f>
        <v>1.3538194444444444E-3</v>
      </c>
      <c r="AM31" s="3">
        <f>IF(Table1221101934465870100[[#This Row],[total time]]="",999.99,IF(Table1221101934465870100[[#This Row],[total time]]=$AQ$3,0,MAX(0,ROUND(((Table1221101934465870100[[#This Row],[total time]]-$AQ$3)/$AQ$3)*$AO$6,2))))</f>
        <v>77.3</v>
      </c>
    </row>
    <row r="32" spans="1:39" x14ac:dyDescent="0.3">
      <c r="A32">
        <v>46</v>
      </c>
      <c r="B32">
        <v>34</v>
      </c>
      <c r="C32" t="s">
        <v>24</v>
      </c>
      <c r="D32" t="s">
        <v>522</v>
      </c>
      <c r="E32" t="s">
        <v>527</v>
      </c>
      <c r="F32">
        <v>2012</v>
      </c>
      <c r="G32" s="1">
        <v>8.5567129629629632E-4</v>
      </c>
      <c r="H32" s="1">
        <v>9.1828703703703712E-4</v>
      </c>
      <c r="I32" s="1">
        <v>1.7739583333333336E-3</v>
      </c>
      <c r="K32">
        <v>93762</v>
      </c>
      <c r="L32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8.5567129629629632E-4</v>
      </c>
      <c r="M32" s="3">
        <f>IF(Table127163143556797[[#This Row],[run 1 times]]="",999.99,IF(Table127163143556797[[#This Row],[run 1 times]]=$S$3,0,MAX(0,ROUND(((Table127163143556797[[#This Row],[run 1 times]]-$S$3)/$S$3)*$T$6,2))))</f>
        <v>189.89</v>
      </c>
      <c r="N32" s="2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9.1828703703703712E-4</v>
      </c>
      <c r="O32" s="3">
        <f>IF(Table127163143556797[[#This Row],[run2 times]]="",999.99,IF(Table127163143556797[[#This Row],[run2 times]]=$T$3,0,MAX(0,ROUND(((Table127163143556797[[#This Row],[run2 times]]-$T$3)/$T$3)*$T$6,2))))</f>
        <v>156.93</v>
      </c>
      <c r="P32" s="2">
        <f>IF(OR(Table127163143556797[[#This Row],[run 1 times]]="",Table127163143556797[[#This Row],[run2 times]]=""),"",Table127163143556797[[#This Row],[run 1 times]]+Table127163143556797[[#This Row],[run2 times]])</f>
        <v>1.7739583333333336E-3</v>
      </c>
      <c r="Q32" s="3">
        <f>IF(Table127163143556797[[#This Row],[total time]]="",999.99,IF(Table127163143556797[[#This Row],[total time]]=$U$3,0,MAX(0,ROUND(((Table127163143556797[[#This Row],[total time]]-$U$3)/$U$3)*$T$6,2))))</f>
        <v>172.6</v>
      </c>
      <c r="W32">
        <v>22</v>
      </c>
      <c r="X32">
        <v>138</v>
      </c>
      <c r="Y32" t="s">
        <v>479</v>
      </c>
      <c r="Z32" t="s">
        <v>572</v>
      </c>
      <c r="AA32" t="s">
        <v>553</v>
      </c>
      <c r="AB32">
        <v>2009</v>
      </c>
      <c r="AC32" s="1">
        <v>58.7</v>
      </c>
      <c r="AD32" s="1">
        <v>58.19</v>
      </c>
      <c r="AE32" s="1">
        <v>1.3528935185185185E-3</v>
      </c>
      <c r="AG32">
        <v>88121</v>
      </c>
      <c r="AH32" s="2">
        <f>_xlfn.LET(_xlpm.x,Table1221101934465870100[[#This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6.7939814814814816E-4</v>
      </c>
      <c r="AI32" s="3">
        <f>IF(Table1221101934465870100[[#This Row],[run 1 times]]="",999.99,IF(Table1221101934465870100[[#This Row],[run 1 times]]=$AO$3,0,MAX(0,ROUND(((Table1221101934465870100[[#This Row],[run 1 times]]-$AO$3)/$AO$3)*$AO$6,2))))</f>
        <v>82.03</v>
      </c>
      <c r="AJ32" s="2">
        <f>_xlfn.LET(_xlpm.x,Table1221101934465870100[[#This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6.7349537037037031E-4</v>
      </c>
      <c r="AK32" s="3">
        <f>IF(Table1221101934465870100[[#This Row],[run2 times]]="",999.99,IF(Table1221101934465870100[[#This Row],[run2 times]]=$AP$3,0,MAX(0,ROUND(((Table1221101934465870100[[#This Row],[run2 times]]-$AP$3)/$AP$3)*$AO$6,2))))</f>
        <v>72.09</v>
      </c>
      <c r="AL32" s="2">
        <f>IF(OR(Table1221101934465870100[[#This Row],[run 1 times]]="",Table1221101934465870100[[#This Row],[run2 times]]=""),"",Table1221101934465870100[[#This Row],[run 1 times]]+Table1221101934465870100[[#This Row],[run2 times]])</f>
        <v>1.3528935185185185E-3</v>
      </c>
      <c r="AM32" s="3">
        <f>IF(Table1221101934465870100[[#This Row],[total time]]="",999.99,IF(Table1221101934465870100[[#This Row],[total time]]=$AQ$3,0,MAX(0,ROUND(((Table1221101934465870100[[#This Row],[total time]]-$AQ$3)/$AQ$3)*$AO$6,2))))</f>
        <v>76.75</v>
      </c>
    </row>
    <row r="33" spans="1:39" x14ac:dyDescent="0.3">
      <c r="A33">
        <v>45</v>
      </c>
      <c r="B33">
        <v>35</v>
      </c>
      <c r="C33" t="s">
        <v>257</v>
      </c>
      <c r="D33" t="s">
        <v>522</v>
      </c>
      <c r="E33" t="s">
        <v>542</v>
      </c>
      <c r="F33">
        <v>2013</v>
      </c>
      <c r="G33" s="1">
        <v>8.8553240740740747E-4</v>
      </c>
      <c r="H33" s="1">
        <v>9.4155092592592587E-4</v>
      </c>
      <c r="I33" s="1">
        <v>1.8270833333333336E-3</v>
      </c>
      <c r="K33">
        <v>118512</v>
      </c>
      <c r="L33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8.8553240740740747E-4</v>
      </c>
      <c r="M33" s="3">
        <f>IF(Table127163143556797[[#This Row],[run 1 times]]="",999.99,IF(Table127163143556797[[#This Row],[run 1 times]]=$S$3,0,MAX(0,ROUND(((Table127163143556797[[#This Row],[run 1 times]]-$S$3)/$S$3)*$T$6,2))))</f>
        <v>231.77</v>
      </c>
      <c r="N33" s="2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9.4155092592592587E-4</v>
      </c>
      <c r="O33" s="3">
        <f>IF(Table127163143556797[[#This Row],[run2 times]]="",999.99,IF(Table127163143556797[[#This Row],[run2 times]]=$T$3,0,MAX(0,ROUND(((Table127163143556797[[#This Row],[run2 times]]-$T$3)/$T$3)*$T$6,2))))</f>
        <v>186.5</v>
      </c>
      <c r="P33" s="2">
        <f>IF(OR(Table127163143556797[[#This Row],[run 1 times]]="",Table127163143556797[[#This Row],[run2 times]]=""),"",Table127163143556797[[#This Row],[run 1 times]]+Table127163143556797[[#This Row],[run2 times]])</f>
        <v>1.8270833333333333E-3</v>
      </c>
      <c r="Q33" s="3">
        <f>IF(Table127163143556797[[#This Row],[total time]]="",999.99,IF(Table127163143556797[[#This Row],[total time]]=$U$3,0,MAX(0,ROUND(((Table127163143556797[[#This Row],[total time]]-$U$3)/$U$3)*$T$6,2))))</f>
        <v>208.02</v>
      </c>
      <c r="W33">
        <v>21</v>
      </c>
      <c r="X33">
        <v>139</v>
      </c>
      <c r="Y33" t="s">
        <v>487</v>
      </c>
      <c r="Z33" t="s">
        <v>547</v>
      </c>
      <c r="AA33" t="s">
        <v>577</v>
      </c>
      <c r="AB33">
        <v>2011</v>
      </c>
      <c r="AC33" s="1">
        <v>8.0937500000000009E-4</v>
      </c>
      <c r="AD33" s="1">
        <v>7.9571759259259255E-4</v>
      </c>
      <c r="AE33" s="1">
        <v>1.6050925925925926E-3</v>
      </c>
      <c r="AG33">
        <v>91878</v>
      </c>
      <c r="AH33" s="2">
        <f>_xlfn.LET(_xlpm.x,Table1221101934465870100[[#This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8.0937500000000009E-4</v>
      </c>
      <c r="AI33" s="3">
        <f>IF(Table1221101934465870100[[#This Row],[run 1 times]]="",999.99,IF(Table1221101934465870100[[#This Row],[run 1 times]]=$AO$3,0,MAX(0,ROUND(((Table1221101934465870100[[#This Row],[run 1 times]]-$AO$3)/$AO$3)*$AO$6,2))))</f>
        <v>237.38</v>
      </c>
      <c r="AJ33" s="2">
        <f>_xlfn.LET(_xlpm.x,Table1221101934465870100[[#This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7.9571759259259255E-4</v>
      </c>
      <c r="AK33" s="3">
        <f>IF(Table1221101934465870100[[#This Row],[run2 times]]="",999.99,IF(Table1221101934465870100[[#This Row],[run2 times]]=$AP$3,0,MAX(0,ROUND(((Table1221101934465870100[[#This Row],[run2 times]]-$AP$3)/$AP$3)*$AO$6,2))))</f>
        <v>217.65</v>
      </c>
      <c r="AL33" s="2">
        <f>IF(OR(Table1221101934465870100[[#This Row],[run 1 times]]="",Table1221101934465870100[[#This Row],[run2 times]]=""),"",Table1221101934465870100[[#This Row],[run 1 times]]+Table1221101934465870100[[#This Row],[run2 times]])</f>
        <v>1.6050925925925926E-3</v>
      </c>
      <c r="AM33" s="3">
        <f>IF(Table1221101934465870100[[#This Row],[total time]]="",999.99,IF(Table1221101934465870100[[#This Row],[total time]]=$AQ$3,0,MAX(0,ROUND(((Table1221101934465870100[[#This Row],[total time]]-$AQ$3)/$AQ$3)*$AO$6,2))))</f>
        <v>227.14</v>
      </c>
    </row>
    <row r="34" spans="1:39" x14ac:dyDescent="0.3">
      <c r="A34">
        <v>44</v>
      </c>
      <c r="B34">
        <v>37</v>
      </c>
      <c r="C34" t="s">
        <v>257</v>
      </c>
      <c r="D34" t="s">
        <v>522</v>
      </c>
      <c r="E34" t="s">
        <v>528</v>
      </c>
      <c r="F34">
        <v>2012</v>
      </c>
      <c r="G34" s="1">
        <v>8.3379629629629624E-4</v>
      </c>
      <c r="H34" s="1">
        <v>9.2349537037037031E-4</v>
      </c>
      <c r="I34" s="1">
        <v>1.7572916666666666E-3</v>
      </c>
      <c r="K34">
        <v>102713</v>
      </c>
      <c r="L34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8.3379629629629624E-4</v>
      </c>
      <c r="M34" s="3">
        <f>IF(Table127163143556797[[#This Row],[run 1 times]]="",999.99,IF(Table127163143556797[[#This Row],[run 1 times]]=$S$3,0,MAX(0,ROUND(((Table127163143556797[[#This Row],[run 1 times]]-$S$3)/$S$3)*$T$6,2))))</f>
        <v>159.22</v>
      </c>
      <c r="N34" s="2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9.2349537037037031E-4</v>
      </c>
      <c r="O34" s="3">
        <f>IF(Table127163143556797[[#This Row],[run2 times]]="",999.99,IF(Table127163143556797[[#This Row],[run2 times]]=$T$3,0,MAX(0,ROUND(((Table127163143556797[[#This Row],[run2 times]]-$T$3)/$T$3)*$T$6,2))))</f>
        <v>163.55000000000001</v>
      </c>
      <c r="P34" s="2">
        <f>IF(OR(Table127163143556797[[#This Row],[run 1 times]]="",Table127163143556797[[#This Row],[run2 times]]=""),"",Table127163143556797[[#This Row],[run 1 times]]+Table127163143556797[[#This Row],[run2 times]])</f>
        <v>1.7572916666666666E-3</v>
      </c>
      <c r="Q34" s="3">
        <f>IF(Table127163143556797[[#This Row],[total time]]="",999.99,IF(Table127163143556797[[#This Row],[total time]]=$U$3,0,MAX(0,ROUND(((Table127163143556797[[#This Row],[total time]]-$U$3)/$U$3)*$T$6,2))))</f>
        <v>161.49</v>
      </c>
      <c r="W34">
        <v>20</v>
      </c>
      <c r="X34">
        <v>140</v>
      </c>
      <c r="Y34" t="s">
        <v>24</v>
      </c>
      <c r="Z34" t="s">
        <v>547</v>
      </c>
      <c r="AA34" t="s">
        <v>834</v>
      </c>
      <c r="AB34">
        <v>2011</v>
      </c>
      <c r="AC34" s="1">
        <v>8.1712962962962956E-4</v>
      </c>
      <c r="AD34" s="1">
        <v>8.3564814814814819E-4</v>
      </c>
      <c r="AE34" s="1">
        <v>1.652777777777778E-3</v>
      </c>
      <c r="AG34">
        <v>121115</v>
      </c>
      <c r="AH34" s="2">
        <f>_xlfn.LET(_xlpm.x,Table1221101934465870100[[#This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8.1712962962962956E-4</v>
      </c>
      <c r="AI34" s="3">
        <f>IF(Table1221101934465870100[[#This Row],[run 1 times]]="",999.99,IF(Table1221101934465870100[[#This Row],[run 1 times]]=$AO$3,0,MAX(0,ROUND(((Table1221101934465870100[[#This Row],[run 1 times]]-$AO$3)/$AO$3)*$AO$6,2))))</f>
        <v>246.65</v>
      </c>
      <c r="AJ34" s="2">
        <f>_xlfn.LET(_xlpm.x,Table1221101934465870100[[#This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8.3564814814814819E-4</v>
      </c>
      <c r="AK34" s="3">
        <f>IF(Table1221101934465870100[[#This Row],[run2 times]]="",999.99,IF(Table1221101934465870100[[#This Row],[run2 times]]=$AP$3,0,MAX(0,ROUND(((Table1221101934465870100[[#This Row],[run2 times]]-$AP$3)/$AP$3)*$AO$6,2))))</f>
        <v>265.2</v>
      </c>
      <c r="AL34" s="2">
        <f>IF(OR(Table1221101934465870100[[#This Row],[run 1 times]]="",Table1221101934465870100[[#This Row],[run2 times]]=""),"",Table1221101934465870100[[#This Row],[run 1 times]]+Table1221101934465870100[[#This Row],[run2 times]])</f>
        <v>1.6527777777777778E-3</v>
      </c>
      <c r="AM34" s="3">
        <f>IF(Table1221101934465870100[[#This Row],[total time]]="",999.99,IF(Table1221101934465870100[[#This Row],[total time]]=$AQ$3,0,MAX(0,ROUND(((Table1221101934465870100[[#This Row],[total time]]-$AQ$3)/$AQ$3)*$AO$6,2))))</f>
        <v>255.57</v>
      </c>
    </row>
    <row r="35" spans="1:39" x14ac:dyDescent="0.3">
      <c r="A35">
        <v>43</v>
      </c>
      <c r="B35">
        <v>38</v>
      </c>
      <c r="C35" t="s">
        <v>257</v>
      </c>
      <c r="D35" t="s">
        <v>480</v>
      </c>
      <c r="E35" t="s">
        <v>864</v>
      </c>
      <c r="F35">
        <v>2014</v>
      </c>
      <c r="G35" s="1" t="s">
        <v>512</v>
      </c>
      <c r="H35" s="1">
        <v>1.271875E-3</v>
      </c>
      <c r="I35" s="1"/>
      <c r="K35">
        <v>124080</v>
      </c>
      <c r="L35" s="2" t="str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35" s="3">
        <f>IF(Table127163143556797[[#This Row],[run 1 times]]="",999.99,IF(Table127163143556797[[#This Row],[run 1 times]]=$S$3,0,MAX(0,ROUND(((Table127163143556797[[#This Row],[run 1 times]]-$S$3)/$S$3)*$T$6,2))))</f>
        <v>999.99</v>
      </c>
      <c r="N35" s="2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1.271875E-3</v>
      </c>
      <c r="O35" s="3">
        <f>IF(Table127163143556797[[#This Row],[run2 times]]="",999.99,IF(Table127163143556797[[#This Row],[run2 times]]=$T$3,0,MAX(0,ROUND(((Table127163143556797[[#This Row],[run2 times]]-$T$3)/$T$3)*$T$6,2))))</f>
        <v>606.26</v>
      </c>
      <c r="P35" s="2" t="str">
        <f>IF(OR(Table127163143556797[[#This Row],[run 1 times]]="",Table127163143556797[[#This Row],[run2 times]]=""),"",Table127163143556797[[#This Row],[run 1 times]]+Table127163143556797[[#This Row],[run2 times]])</f>
        <v/>
      </c>
      <c r="Q35" s="3">
        <f>IF(Table127163143556797[[#This Row],[total time]]="",999.99,IF(Table127163143556797[[#This Row],[total time]]=$U$3,0,MAX(0,ROUND(((Table127163143556797[[#This Row],[total time]]-$U$3)/$U$3)*$T$6,2))))</f>
        <v>999.99</v>
      </c>
      <c r="W35">
        <v>19</v>
      </c>
      <c r="X35">
        <v>141</v>
      </c>
      <c r="Y35" t="s">
        <v>257</v>
      </c>
      <c r="Z35" t="s">
        <v>547</v>
      </c>
      <c r="AA35" t="s">
        <v>570</v>
      </c>
      <c r="AB35">
        <v>2010</v>
      </c>
      <c r="AC35" s="1">
        <v>59.57</v>
      </c>
      <c r="AD35" s="1">
        <v>6.9525462962962965E-4</v>
      </c>
      <c r="AE35" s="1">
        <v>1.3847222222222223E-3</v>
      </c>
      <c r="AG35">
        <v>102723</v>
      </c>
      <c r="AH35" s="2">
        <f>_xlfn.LET(_xlpm.x,Table1221101934465870100[[#This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6.8946759259259265E-4</v>
      </c>
      <c r="AI35" s="3">
        <f>IF(Table1221101934465870100[[#This Row],[run 1 times]]="",999.99,IF(Table1221101934465870100[[#This Row],[run 1 times]]=$AO$3,0,MAX(0,ROUND(((Table1221101934465870100[[#This Row],[run 1 times]]-$AO$3)/$AO$3)*$AO$6,2))))</f>
        <v>94.07</v>
      </c>
      <c r="AJ35" s="2">
        <f>_xlfn.LET(_xlpm.x,Table1221101934465870100[[#This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6.9525462962962965E-4</v>
      </c>
      <c r="AK35" s="3">
        <f>IF(Table1221101934465870100[[#This Row],[run2 times]]="",999.99,IF(Table1221101934465870100[[#This Row],[run2 times]]=$AP$3,0,MAX(0,ROUND(((Table1221101934465870100[[#This Row],[run2 times]]-$AP$3)/$AP$3)*$AO$6,2))))</f>
        <v>98</v>
      </c>
      <c r="AL35" s="2">
        <f>IF(OR(Table1221101934465870100[[#This Row],[run 1 times]]="",Table1221101934465870100[[#This Row],[run2 times]]=""),"",Table1221101934465870100[[#This Row],[run 1 times]]+Table1221101934465870100[[#This Row],[run2 times]])</f>
        <v>1.3847222222222223E-3</v>
      </c>
      <c r="AM35" s="3">
        <f>IF(Table1221101934465870100[[#This Row],[total time]]="",999.99,IF(Table1221101934465870100[[#This Row],[total time]]=$AQ$3,0,MAX(0,ROUND(((Table1221101934465870100[[#This Row],[total time]]-$AQ$3)/$AQ$3)*$AO$6,2))))</f>
        <v>95.73</v>
      </c>
    </row>
    <row r="36" spans="1:39" x14ac:dyDescent="0.3">
      <c r="A36">
        <v>41</v>
      </c>
      <c r="B36">
        <v>40</v>
      </c>
      <c r="C36" t="s">
        <v>257</v>
      </c>
      <c r="D36" t="s">
        <v>480</v>
      </c>
      <c r="E36" t="s">
        <v>865</v>
      </c>
      <c r="F36">
        <v>2015</v>
      </c>
      <c r="G36" s="1">
        <v>9.7928240740740745E-4</v>
      </c>
      <c r="H36" s="1">
        <v>1.0732638888888888E-3</v>
      </c>
      <c r="I36" s="1">
        <v>2.0525462962962962E-3</v>
      </c>
      <c r="K36">
        <v>119074</v>
      </c>
      <c r="L36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9.7928240740740745E-4</v>
      </c>
      <c r="M36" s="3">
        <f>IF(Table127163143556797[[#This Row],[run 1 times]]="",999.99,IF(Table127163143556797[[#This Row],[run 1 times]]=$S$3,0,MAX(0,ROUND(((Table127163143556797[[#This Row],[run 1 times]]-$S$3)/$S$3)*$T$6,2))))</f>
        <v>363.23</v>
      </c>
      <c r="N36" s="2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1.0732638888888888E-3</v>
      </c>
      <c r="O36" s="3">
        <f>IF(Table127163143556797[[#This Row],[run2 times]]="",999.99,IF(Table127163143556797[[#This Row],[run2 times]]=$T$3,0,MAX(0,ROUND(((Table127163143556797[[#This Row],[run2 times]]-$T$3)/$T$3)*$T$6,2))))</f>
        <v>353.88</v>
      </c>
      <c r="P36" s="2">
        <f>IF(OR(Table127163143556797[[#This Row],[run 1 times]]="",Table127163143556797[[#This Row],[run2 times]]=""),"",Table127163143556797[[#This Row],[run 1 times]]+Table127163143556797[[#This Row],[run2 times]])</f>
        <v>2.0525462962962962E-3</v>
      </c>
      <c r="Q36" s="3">
        <f>IF(Table127163143556797[[#This Row],[total time]]="",999.99,IF(Table127163143556797[[#This Row],[total time]]=$U$3,0,MAX(0,ROUND(((Table127163143556797[[#This Row],[total time]]-$U$3)/$U$3)*$T$6,2))))</f>
        <v>358.32</v>
      </c>
      <c r="W36">
        <v>17</v>
      </c>
      <c r="X36">
        <v>107</v>
      </c>
      <c r="Y36" t="s">
        <v>24</v>
      </c>
      <c r="Z36" t="s">
        <v>547</v>
      </c>
      <c r="AA36" t="s">
        <v>565</v>
      </c>
      <c r="AB36">
        <v>2011</v>
      </c>
      <c r="AC36" s="1" t="s">
        <v>510</v>
      </c>
      <c r="AD36" s="1" t="s">
        <v>510</v>
      </c>
      <c r="AE36" s="1"/>
      <c r="AG36">
        <v>89752</v>
      </c>
      <c r="AH36" s="2" t="str">
        <f>_xlfn.LET(_xlpm.x,Table1221101934465870100[[#This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36" s="3">
        <f>IF(Table1221101934465870100[[#This Row],[run 1 times]]="",999.99,IF(Table1221101934465870100[[#This Row],[run 1 times]]=$AO$3,0,MAX(0,ROUND(((Table1221101934465870100[[#This Row],[run 1 times]]-$AO$3)/$AO$3)*$AO$6,2))))</f>
        <v>999.99</v>
      </c>
      <c r="AJ36" s="2" t="str">
        <f>_xlfn.LET(_xlpm.x,Table1221101934465870100[[#This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36" s="3">
        <f>IF(Table1221101934465870100[[#This Row],[run2 times]]="",999.99,IF(Table1221101934465870100[[#This Row],[run2 times]]=$AP$3,0,MAX(0,ROUND(((Table1221101934465870100[[#This Row],[run2 times]]-$AP$3)/$AP$3)*$AO$6,2))))</f>
        <v>999.99</v>
      </c>
      <c r="AL36" s="2" t="str">
        <f>IF(OR(Table1221101934465870100[[#This Row],[run 1 times]]="",Table1221101934465870100[[#This Row],[run2 times]]=""),"",Table1221101934465870100[[#This Row],[run 1 times]]+Table1221101934465870100[[#This Row],[run2 times]])</f>
        <v/>
      </c>
      <c r="AM36" s="3">
        <f>IF(Table1221101934465870100[[#This Row],[total time]]="",999.99,IF(Table1221101934465870100[[#This Row],[total time]]=$AQ$3,0,MAX(0,ROUND(((Table1221101934465870100[[#This Row],[total time]]-$AQ$3)/$AQ$3)*$AO$6,2))))</f>
        <v>999.99</v>
      </c>
    </row>
    <row r="37" spans="1:39" x14ac:dyDescent="0.3">
      <c r="A37">
        <v>40</v>
      </c>
      <c r="B37">
        <v>41</v>
      </c>
      <c r="C37" t="s">
        <v>851</v>
      </c>
      <c r="D37" t="s">
        <v>522</v>
      </c>
      <c r="E37" t="s">
        <v>866</v>
      </c>
      <c r="F37">
        <v>2013</v>
      </c>
      <c r="G37" s="1">
        <v>7.851851851851852E-4</v>
      </c>
      <c r="H37" s="1">
        <v>8.5972222222222222E-4</v>
      </c>
      <c r="I37" s="1">
        <v>1.6449074074074074E-3</v>
      </c>
      <c r="K37">
        <v>7225977</v>
      </c>
      <c r="L37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7.851851851851852E-4</v>
      </c>
      <c r="M37" s="3">
        <f>IF(Table127163143556797[[#This Row],[run 1 times]]="",999.99,IF(Table127163143556797[[#This Row],[run 1 times]]=$S$3,0,MAX(0,ROUND(((Table127163143556797[[#This Row],[run 1 times]]-$S$3)/$S$3)*$T$6,2))))</f>
        <v>91.05</v>
      </c>
      <c r="N37" s="2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8.5972222222222222E-4</v>
      </c>
      <c r="O37" s="3">
        <f>IF(Table127163143556797[[#This Row],[run2 times]]="",999.99,IF(Table127163143556797[[#This Row],[run2 times]]=$T$3,0,MAX(0,ROUND(((Table127163143556797[[#This Row],[run2 times]]-$T$3)/$T$3)*$T$6,2))))</f>
        <v>82.51</v>
      </c>
      <c r="P37" s="2">
        <f>IF(OR(Table127163143556797[[#This Row],[run 1 times]]="",Table127163143556797[[#This Row],[run2 times]]=""),"",Table127163143556797[[#This Row],[run 1 times]]+Table127163143556797[[#This Row],[run2 times]])</f>
        <v>1.6449074074074074E-3</v>
      </c>
      <c r="Q37" s="3">
        <f>IF(Table127163143556797[[#This Row],[total time]]="",999.99,IF(Table127163143556797[[#This Row],[total time]]=$U$3,0,MAX(0,ROUND(((Table127163143556797[[#This Row],[total time]]-$U$3)/$U$3)*$T$6,2))))</f>
        <v>86.57</v>
      </c>
      <c r="W37">
        <v>4</v>
      </c>
      <c r="X37">
        <v>120</v>
      </c>
      <c r="Y37" t="s">
        <v>24</v>
      </c>
      <c r="Z37" t="s">
        <v>547</v>
      </c>
      <c r="AA37" t="s">
        <v>835</v>
      </c>
      <c r="AB37">
        <v>2011</v>
      </c>
      <c r="AC37" s="1" t="s">
        <v>510</v>
      </c>
      <c r="AD37" s="1" t="s">
        <v>510</v>
      </c>
      <c r="AE37" s="1"/>
      <c r="AG37">
        <v>88934</v>
      </c>
      <c r="AH37" s="2" t="str">
        <f>_xlfn.LET(_xlpm.x,Table1221101934465870100[[#This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37" s="3">
        <f>IF(Table1221101934465870100[[#This Row],[run 1 times]]="",999.99,IF(Table1221101934465870100[[#This Row],[run 1 times]]=$AO$3,0,MAX(0,ROUND(((Table1221101934465870100[[#This Row],[run 1 times]]-$AO$3)/$AO$3)*$AO$6,2))))</f>
        <v>999.99</v>
      </c>
      <c r="AJ37" s="2" t="str">
        <f>_xlfn.LET(_xlpm.x,Table1221101934465870100[[#This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37" s="3">
        <f>IF(Table1221101934465870100[[#This Row],[run2 times]]="",999.99,IF(Table1221101934465870100[[#This Row],[run2 times]]=$AP$3,0,MAX(0,ROUND(((Table1221101934465870100[[#This Row],[run2 times]]-$AP$3)/$AP$3)*$AO$6,2))))</f>
        <v>999.99</v>
      </c>
      <c r="AL37" s="2" t="str">
        <f>IF(OR(Table1221101934465870100[[#This Row],[run 1 times]]="",Table1221101934465870100[[#This Row],[run2 times]]=""),"",Table1221101934465870100[[#This Row],[run 1 times]]+Table1221101934465870100[[#This Row],[run2 times]])</f>
        <v/>
      </c>
      <c r="AM37" s="3">
        <f>IF(Table1221101934465870100[[#This Row],[total time]]="",999.99,IF(Table1221101934465870100[[#This Row],[total time]]=$AQ$3,0,MAX(0,ROUND(((Table1221101934465870100[[#This Row],[total time]]-$AQ$3)/$AQ$3)*$AO$6,2))))</f>
        <v>999.99</v>
      </c>
    </row>
    <row r="38" spans="1:39" x14ac:dyDescent="0.3">
      <c r="A38">
        <v>39</v>
      </c>
      <c r="B38">
        <v>42</v>
      </c>
      <c r="C38" t="s">
        <v>257</v>
      </c>
      <c r="D38" t="s">
        <v>480</v>
      </c>
      <c r="E38" t="s">
        <v>495</v>
      </c>
      <c r="F38">
        <v>2014</v>
      </c>
      <c r="G38" s="1">
        <v>1.0123842592592593E-3</v>
      </c>
      <c r="H38" s="1">
        <v>1.1037037037037037E-3</v>
      </c>
      <c r="I38" s="1">
        <v>2.1160879629629633E-3</v>
      </c>
      <c r="K38">
        <v>120662</v>
      </c>
      <c r="L38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1.0123842592592593E-3</v>
      </c>
      <c r="M38" s="3">
        <f>IF(Table127163143556797[[#This Row],[run 1 times]]="",999.99,IF(Table127163143556797[[#This Row],[run 1 times]]=$S$3,0,MAX(0,ROUND(((Table127163143556797[[#This Row],[run 1 times]]-$S$3)/$S$3)*$T$6,2))))</f>
        <v>409.65</v>
      </c>
      <c r="N38" s="2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1.1037037037037037E-3</v>
      </c>
      <c r="O38" s="3">
        <f>IF(Table127163143556797[[#This Row],[run2 times]]="",999.99,IF(Table127163143556797[[#This Row],[run2 times]]=$T$3,0,MAX(0,ROUND(((Table127163143556797[[#This Row],[run2 times]]-$T$3)/$T$3)*$T$6,2))))</f>
        <v>392.56</v>
      </c>
      <c r="P38" s="2">
        <f>IF(OR(Table127163143556797[[#This Row],[run 1 times]]="",Table127163143556797[[#This Row],[run2 times]]=""),"",Table127163143556797[[#This Row],[run 1 times]]+Table127163143556797[[#This Row],[run2 times]])</f>
        <v>2.1160879629629628E-3</v>
      </c>
      <c r="Q38" s="3">
        <f>IF(Table127163143556797[[#This Row],[total time]]="",999.99,IF(Table127163143556797[[#This Row],[total time]]=$U$3,0,MAX(0,ROUND(((Table127163143556797[[#This Row],[total time]]-$U$3)/$U$3)*$T$6,2))))</f>
        <v>400.68</v>
      </c>
      <c r="W38">
        <v>34</v>
      </c>
      <c r="X38">
        <v>126</v>
      </c>
      <c r="Y38" t="s">
        <v>257</v>
      </c>
      <c r="Z38" t="s">
        <v>547</v>
      </c>
      <c r="AA38" t="s">
        <v>576</v>
      </c>
      <c r="AB38">
        <v>2010</v>
      </c>
      <c r="AC38" s="1" t="s">
        <v>510</v>
      </c>
      <c r="AD38" s="1" t="s">
        <v>510</v>
      </c>
      <c r="AE38" s="1"/>
      <c r="AG38">
        <v>92169</v>
      </c>
      <c r="AH38" s="2" t="str">
        <f>_xlfn.LET(_xlpm.x,Table1221101934465870100[[#This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38" s="3">
        <f>IF(Table1221101934465870100[[#This Row],[run 1 times]]="",999.99,IF(Table1221101934465870100[[#This Row],[run 1 times]]=$AO$3,0,MAX(0,ROUND(((Table1221101934465870100[[#This Row],[run 1 times]]-$AO$3)/$AO$3)*$AO$6,2))))</f>
        <v>999.99</v>
      </c>
      <c r="AJ38" s="2" t="str">
        <f>_xlfn.LET(_xlpm.x,Table1221101934465870100[[#This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38" s="3">
        <f>IF(Table1221101934465870100[[#This Row],[run2 times]]="",999.99,IF(Table1221101934465870100[[#This Row],[run2 times]]=$AP$3,0,MAX(0,ROUND(((Table1221101934465870100[[#This Row],[run2 times]]-$AP$3)/$AP$3)*$AO$6,2))))</f>
        <v>999.99</v>
      </c>
      <c r="AL38" s="2" t="str">
        <f>IF(OR(Table1221101934465870100[[#This Row],[run 1 times]]="",Table1221101934465870100[[#This Row],[run2 times]]=""),"",Table1221101934465870100[[#This Row],[run 1 times]]+Table1221101934465870100[[#This Row],[run2 times]])</f>
        <v/>
      </c>
      <c r="AM38" s="3">
        <f>IF(Table1221101934465870100[[#This Row],[total time]]="",999.99,IF(Table1221101934465870100[[#This Row],[total time]]=$AQ$3,0,MAX(0,ROUND(((Table1221101934465870100[[#This Row],[total time]]-$AQ$3)/$AQ$3)*$AO$6,2))))</f>
        <v>999.99</v>
      </c>
    </row>
    <row r="39" spans="1:39" x14ac:dyDescent="0.3">
      <c r="A39">
        <v>38</v>
      </c>
      <c r="B39">
        <v>43</v>
      </c>
      <c r="C39" t="s">
        <v>487</v>
      </c>
      <c r="D39" t="s">
        <v>522</v>
      </c>
      <c r="E39" t="s">
        <v>867</v>
      </c>
      <c r="F39">
        <v>2012</v>
      </c>
      <c r="G39" s="1">
        <v>8.6747685185185192E-4</v>
      </c>
      <c r="H39" s="1">
        <v>9.1145833333333335E-4</v>
      </c>
      <c r="I39" s="1">
        <v>1.778935185185185E-3</v>
      </c>
      <c r="K39">
        <v>102360</v>
      </c>
      <c r="L39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8.6747685185185192E-4</v>
      </c>
      <c r="M39" s="3">
        <f>IF(Table127163143556797[[#This Row],[run 1 times]]="",999.99,IF(Table127163143556797[[#This Row],[run 1 times]]=$S$3,0,MAX(0,ROUND(((Table127163143556797[[#This Row],[run 1 times]]-$S$3)/$S$3)*$T$6,2))))</f>
        <v>206.45</v>
      </c>
      <c r="N39" s="2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9.1145833333333335E-4</v>
      </c>
      <c r="O39" s="3">
        <f>IF(Table127163143556797[[#This Row],[run2 times]]="",999.99,IF(Table127163143556797[[#This Row],[run2 times]]=$T$3,0,MAX(0,ROUND(((Table127163143556797[[#This Row],[run2 times]]-$T$3)/$T$3)*$T$6,2))))</f>
        <v>148.26</v>
      </c>
      <c r="P39" s="2">
        <f>IF(OR(Table127163143556797[[#This Row],[run 1 times]]="",Table127163143556797[[#This Row],[run2 times]]=""),"",Table127163143556797[[#This Row],[run 1 times]]+Table127163143556797[[#This Row],[run2 times]])</f>
        <v>1.7789351851851853E-3</v>
      </c>
      <c r="Q39" s="3">
        <f>IF(Table127163143556797[[#This Row],[total time]]="",999.99,IF(Table127163143556797[[#This Row],[total time]]=$U$3,0,MAX(0,ROUND(((Table127163143556797[[#This Row],[total time]]-$U$3)/$U$3)*$T$6,2))))</f>
        <v>175.92</v>
      </c>
    </row>
    <row r="40" spans="1:39" x14ac:dyDescent="0.3">
      <c r="A40">
        <v>37</v>
      </c>
      <c r="B40">
        <v>44</v>
      </c>
      <c r="C40" t="s">
        <v>223</v>
      </c>
      <c r="D40" t="s">
        <v>480</v>
      </c>
      <c r="E40" t="s">
        <v>868</v>
      </c>
      <c r="F40">
        <v>2015</v>
      </c>
      <c r="G40" s="1">
        <v>8.920138888888888E-4</v>
      </c>
      <c r="H40" s="1">
        <v>9.8472222222222212E-4</v>
      </c>
      <c r="I40" s="1">
        <v>1.8767361111111111E-3</v>
      </c>
      <c r="K40">
        <v>111248</v>
      </c>
      <c r="L40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8.920138888888888E-4</v>
      </c>
      <c r="M40" s="3">
        <f>IF(Table127163143556797[[#This Row],[run 1 times]]="",999.99,IF(Table127163143556797[[#This Row],[run 1 times]]=$S$3,0,MAX(0,ROUND(((Table127163143556797[[#This Row],[run 1 times]]-$S$3)/$S$3)*$T$6,2))))</f>
        <v>240.85</v>
      </c>
      <c r="N40" s="2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9.8472222222222212E-4</v>
      </c>
      <c r="O40" s="3">
        <f>IF(Table127163143556797[[#This Row],[run2 times]]="",999.99,IF(Table127163143556797[[#This Row],[run2 times]]=$T$3,0,MAX(0,ROUND(((Table127163143556797[[#This Row],[run2 times]]-$T$3)/$T$3)*$T$6,2))))</f>
        <v>241.36</v>
      </c>
      <c r="P40" s="2">
        <f>IF(OR(Table127163143556797[[#This Row],[run 1 times]]="",Table127163143556797[[#This Row],[run2 times]]=""),"",Table127163143556797[[#This Row],[run 1 times]]+Table127163143556797[[#This Row],[run2 times]])</f>
        <v>1.8767361111111109E-3</v>
      </c>
      <c r="Q40" s="3">
        <f>IF(Table127163143556797[[#This Row],[total time]]="",999.99,IF(Table127163143556797[[#This Row],[total time]]=$U$3,0,MAX(0,ROUND(((Table127163143556797[[#This Row],[total time]]-$U$3)/$U$3)*$T$6,2))))</f>
        <v>241.12</v>
      </c>
    </row>
    <row r="41" spans="1:39" x14ac:dyDescent="0.3">
      <c r="A41">
        <v>36</v>
      </c>
      <c r="B41">
        <v>45</v>
      </c>
      <c r="C41" t="s">
        <v>223</v>
      </c>
      <c r="D41" t="s">
        <v>480</v>
      </c>
      <c r="E41" t="s">
        <v>501</v>
      </c>
      <c r="F41">
        <v>2015</v>
      </c>
      <c r="G41" s="1">
        <v>9.745370370370371E-4</v>
      </c>
      <c r="H41" s="1">
        <v>1.0640046296296298E-3</v>
      </c>
      <c r="I41" s="1">
        <v>2.0385416666666668E-3</v>
      </c>
      <c r="K41">
        <v>107911</v>
      </c>
      <c r="L41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9.745370370370371E-4</v>
      </c>
      <c r="M41" s="3">
        <f>IF(Table127163143556797[[#This Row],[run 1 times]]="",999.99,IF(Table127163143556797[[#This Row],[run 1 times]]=$S$3,0,MAX(0,ROUND(((Table127163143556797[[#This Row],[run 1 times]]-$S$3)/$S$3)*$T$6,2))))</f>
        <v>356.58</v>
      </c>
      <c r="N41" s="2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1.0640046296296298E-3</v>
      </c>
      <c r="O41" s="3">
        <f>IF(Table127163143556797[[#This Row],[run2 times]]="",999.99,IF(Table127163143556797[[#This Row],[run2 times]]=$T$3,0,MAX(0,ROUND(((Table127163143556797[[#This Row],[run2 times]]-$T$3)/$T$3)*$T$6,2))))</f>
        <v>342.11</v>
      </c>
      <c r="P41" s="2">
        <f>IF(OR(Table127163143556797[[#This Row],[run 1 times]]="",Table127163143556797[[#This Row],[run2 times]]=""),"",Table127163143556797[[#This Row],[run 1 times]]+Table127163143556797[[#This Row],[run2 times]])</f>
        <v>2.0385416666666668E-3</v>
      </c>
      <c r="Q41" s="3">
        <f>IF(Table127163143556797[[#This Row],[total time]]="",999.99,IF(Table127163143556797[[#This Row],[total time]]=$U$3,0,MAX(0,ROUND(((Table127163143556797[[#This Row],[total time]]-$U$3)/$U$3)*$T$6,2))))</f>
        <v>348.99</v>
      </c>
    </row>
    <row r="42" spans="1:39" x14ac:dyDescent="0.3">
      <c r="A42">
        <v>35</v>
      </c>
      <c r="B42">
        <v>46</v>
      </c>
      <c r="C42" t="s">
        <v>851</v>
      </c>
      <c r="D42" t="s">
        <v>522</v>
      </c>
      <c r="E42" t="s">
        <v>869</v>
      </c>
      <c r="F42">
        <v>2012</v>
      </c>
      <c r="G42" s="1">
        <v>7.2025462962962961E-4</v>
      </c>
      <c r="H42" s="1">
        <v>7.9479166666666674E-4</v>
      </c>
      <c r="I42" s="1">
        <v>1.5150462962962965E-3</v>
      </c>
      <c r="K42">
        <v>6991409</v>
      </c>
      <c r="L42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7.2025462962962961E-4</v>
      </c>
      <c r="M42" s="3">
        <f>IF(Table127163143556797[[#This Row],[run 1 times]]="",999.99,IF(Table127163143556797[[#This Row],[run 1 times]]=$S$3,0,MAX(0,ROUND(((Table127163143556797[[#This Row],[run 1 times]]-$S$3)/$S$3)*$T$6,2))))</f>
        <v>0</v>
      </c>
      <c r="N42" s="2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7.9479166666666674E-4</v>
      </c>
      <c r="O42" s="3">
        <f>IF(Table127163143556797[[#This Row],[run2 times]]="",999.99,IF(Table127163143556797[[#This Row],[run2 times]]=$T$3,0,MAX(0,ROUND(((Table127163143556797[[#This Row],[run2 times]]-$T$3)/$T$3)*$T$6,2))))</f>
        <v>0</v>
      </c>
      <c r="P42" s="2">
        <f>IF(OR(Table127163143556797[[#This Row],[run 1 times]]="",Table127163143556797[[#This Row],[run2 times]]=""),"",Table127163143556797[[#This Row],[run 1 times]]+Table127163143556797[[#This Row],[run2 times]])</f>
        <v>1.5150462962962965E-3</v>
      </c>
      <c r="Q42" s="3">
        <f>IF(Table127163143556797[[#This Row],[total time]]="",999.99,IF(Table127163143556797[[#This Row],[total time]]=$U$3,0,MAX(0,ROUND(((Table127163143556797[[#This Row],[total time]]-$U$3)/$U$3)*$T$6,2))))</f>
        <v>0</v>
      </c>
    </row>
    <row r="43" spans="1:39" x14ac:dyDescent="0.3">
      <c r="A43">
        <v>34</v>
      </c>
      <c r="B43">
        <v>47</v>
      </c>
      <c r="C43" t="s">
        <v>257</v>
      </c>
      <c r="D43" t="s">
        <v>480</v>
      </c>
      <c r="E43" t="s">
        <v>505</v>
      </c>
      <c r="F43">
        <v>2015</v>
      </c>
      <c r="G43" s="1">
        <v>1.1315972222222224E-3</v>
      </c>
      <c r="H43" s="1">
        <v>1.1635416666666667E-3</v>
      </c>
      <c r="I43" s="1">
        <v>2.2951388888888891E-3</v>
      </c>
      <c r="K43">
        <v>119081</v>
      </c>
      <c r="L43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1.1315972222222224E-3</v>
      </c>
      <c r="M43" s="3">
        <f>IF(Table127163143556797[[#This Row],[run 1 times]]="",999.99,IF(Table127163143556797[[#This Row],[run 1 times]]=$S$3,0,MAX(0,ROUND(((Table127163143556797[[#This Row],[run 1 times]]-$S$3)/$S$3)*$T$6,2))))</f>
        <v>576.82000000000005</v>
      </c>
      <c r="N43" s="2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1.1635416666666667E-3</v>
      </c>
      <c r="O43" s="3">
        <f>IF(Table127163143556797[[#This Row],[run2 times]]="",999.99,IF(Table127163143556797[[#This Row],[run2 times]]=$T$3,0,MAX(0,ROUND(((Table127163143556797[[#This Row],[run2 times]]-$T$3)/$T$3)*$T$6,2))))</f>
        <v>468.6</v>
      </c>
      <c r="P43" s="2">
        <f>IF(OR(Table127163143556797[[#This Row],[run 1 times]]="",Table127163143556797[[#This Row],[run2 times]]=""),"",Table127163143556797[[#This Row],[run 1 times]]+Table127163143556797[[#This Row],[run2 times]])</f>
        <v>2.2951388888888891E-3</v>
      </c>
      <c r="Q43" s="3">
        <f>IF(Table127163143556797[[#This Row],[total time]]="",999.99,IF(Table127163143556797[[#This Row],[total time]]=$U$3,0,MAX(0,ROUND(((Table127163143556797[[#This Row],[total time]]-$U$3)/$U$3)*$T$6,2))))</f>
        <v>520.04999999999995</v>
      </c>
    </row>
    <row r="44" spans="1:39" x14ac:dyDescent="0.3">
      <c r="A44">
        <v>33</v>
      </c>
      <c r="B44">
        <v>48</v>
      </c>
      <c r="C44" t="s">
        <v>479</v>
      </c>
      <c r="D44" t="s">
        <v>522</v>
      </c>
      <c r="E44" t="s">
        <v>531</v>
      </c>
      <c r="F44">
        <v>2012</v>
      </c>
      <c r="G44" s="1">
        <v>9.0717592592592586E-4</v>
      </c>
      <c r="H44" s="1">
        <v>9.8958333333333342E-4</v>
      </c>
      <c r="I44" s="1">
        <v>1.8967592592592593E-3</v>
      </c>
      <c r="K44">
        <v>101437</v>
      </c>
      <c r="L44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9.0717592592592586E-4</v>
      </c>
      <c r="M44" s="3">
        <f>IF(Table127163143556797[[#This Row],[run 1 times]]="",999.99,IF(Table127163143556797[[#This Row],[run 1 times]]=$S$3,0,MAX(0,ROUND(((Table127163143556797[[#This Row],[run 1 times]]-$S$3)/$S$3)*$T$6,2))))</f>
        <v>262.12</v>
      </c>
      <c r="N44" s="2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9.8958333333333342E-4</v>
      </c>
      <c r="O44" s="3">
        <f>IF(Table127163143556797[[#This Row],[run2 times]]="",999.99,IF(Table127163143556797[[#This Row],[run2 times]]=$T$3,0,MAX(0,ROUND(((Table127163143556797[[#This Row],[run2 times]]-$T$3)/$T$3)*$T$6,2))))</f>
        <v>247.54</v>
      </c>
      <c r="P44" s="2">
        <f>IF(OR(Table127163143556797[[#This Row],[run 1 times]]="",Table127163143556797[[#This Row],[run2 times]]=""),"",Table127163143556797[[#This Row],[run 1 times]]+Table127163143556797[[#This Row],[run2 times]])</f>
        <v>1.8967592592592593E-3</v>
      </c>
      <c r="Q44" s="3">
        <f>IF(Table127163143556797[[#This Row],[total time]]="",999.99,IF(Table127163143556797[[#This Row],[total time]]=$U$3,0,MAX(0,ROUND(((Table127163143556797[[#This Row],[total time]]-$U$3)/$U$3)*$T$6,2))))</f>
        <v>254.47</v>
      </c>
    </row>
    <row r="45" spans="1:39" x14ac:dyDescent="0.3">
      <c r="A45">
        <v>32</v>
      </c>
      <c r="B45">
        <v>49</v>
      </c>
      <c r="C45" t="s">
        <v>24</v>
      </c>
      <c r="D45" t="s">
        <v>522</v>
      </c>
      <c r="E45" t="s">
        <v>533</v>
      </c>
      <c r="F45">
        <v>2013</v>
      </c>
      <c r="G45" s="1">
        <v>8.4965277777777773E-4</v>
      </c>
      <c r="H45" s="1">
        <v>9.4120370370370365E-4</v>
      </c>
      <c r="I45" s="1">
        <v>1.7908564814814814E-3</v>
      </c>
      <c r="K45">
        <v>104666</v>
      </c>
      <c r="L45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8.4965277777777773E-4</v>
      </c>
      <c r="M45" s="3">
        <f>IF(Table127163143556797[[#This Row],[run 1 times]]="",999.99,IF(Table127163143556797[[#This Row],[run 1 times]]=$S$3,0,MAX(0,ROUND(((Table127163143556797[[#This Row],[run 1 times]]-$S$3)/$S$3)*$T$6,2))))</f>
        <v>181.45</v>
      </c>
      <c r="N45" s="2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9.4120370370370365E-4</v>
      </c>
      <c r="O45" s="3">
        <f>IF(Table127163143556797[[#This Row],[run2 times]]="",999.99,IF(Table127163143556797[[#This Row],[run2 times]]=$T$3,0,MAX(0,ROUND(((Table127163143556797[[#This Row],[run2 times]]-$T$3)/$T$3)*$T$6,2))))</f>
        <v>186.06</v>
      </c>
      <c r="P45" s="2">
        <f>IF(OR(Table127163143556797[[#This Row],[run 1 times]]="",Table127163143556797[[#This Row],[run2 times]]=""),"",Table127163143556797[[#This Row],[run 1 times]]+Table127163143556797[[#This Row],[run2 times]])</f>
        <v>1.7908564814814814E-3</v>
      </c>
      <c r="Q45" s="3">
        <f>IF(Table127163143556797[[#This Row],[total time]]="",999.99,IF(Table127163143556797[[#This Row],[total time]]=$U$3,0,MAX(0,ROUND(((Table127163143556797[[#This Row],[total time]]-$U$3)/$U$3)*$T$6,2))))</f>
        <v>183.87</v>
      </c>
    </row>
    <row r="46" spans="1:39" x14ac:dyDescent="0.3">
      <c r="A46">
        <v>31</v>
      </c>
      <c r="B46">
        <v>50</v>
      </c>
      <c r="C46" t="s">
        <v>487</v>
      </c>
      <c r="D46" t="s">
        <v>522</v>
      </c>
      <c r="E46" t="s">
        <v>870</v>
      </c>
      <c r="F46">
        <v>2013</v>
      </c>
      <c r="G46" s="1">
        <v>9.7812500000000004E-4</v>
      </c>
      <c r="H46" s="1">
        <v>1.0488425925925928E-3</v>
      </c>
      <c r="I46" s="1">
        <v>2.0269675925925924E-3</v>
      </c>
      <c r="K46">
        <v>121030</v>
      </c>
      <c r="L46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9.7812500000000004E-4</v>
      </c>
      <c r="M46" s="3">
        <f>IF(Table127163143556797[[#This Row],[run 1 times]]="",999.99,IF(Table127163143556797[[#This Row],[run 1 times]]=$S$3,0,MAX(0,ROUND(((Table127163143556797[[#This Row],[run 1 times]]-$S$3)/$S$3)*$T$6,2))))</f>
        <v>361.61</v>
      </c>
      <c r="N46" s="2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1.0488425925925928E-3</v>
      </c>
      <c r="O46" s="3">
        <f>IF(Table127163143556797[[#This Row],[run2 times]]="",999.99,IF(Table127163143556797[[#This Row],[run2 times]]=$T$3,0,MAX(0,ROUND(((Table127163143556797[[#This Row],[run2 times]]-$T$3)/$T$3)*$T$6,2))))</f>
        <v>322.83999999999997</v>
      </c>
      <c r="P46" s="2">
        <f>IF(OR(Table127163143556797[[#This Row],[run 1 times]]="",Table127163143556797[[#This Row],[run2 times]]=""),"",Table127163143556797[[#This Row],[run 1 times]]+Table127163143556797[[#This Row],[run2 times]])</f>
        <v>2.0269675925925928E-3</v>
      </c>
      <c r="Q46" s="3">
        <f>IF(Table127163143556797[[#This Row],[total time]]="",999.99,IF(Table127163143556797[[#This Row],[total time]]=$U$3,0,MAX(0,ROUND(((Table127163143556797[[#This Row],[total time]]-$U$3)/$U$3)*$T$6,2))))</f>
        <v>341.27</v>
      </c>
    </row>
    <row r="47" spans="1:39" x14ac:dyDescent="0.3">
      <c r="A47">
        <v>30</v>
      </c>
      <c r="B47">
        <v>51</v>
      </c>
      <c r="C47" t="s">
        <v>851</v>
      </c>
      <c r="D47" t="s">
        <v>522</v>
      </c>
      <c r="E47" t="s">
        <v>871</v>
      </c>
      <c r="F47">
        <v>2012</v>
      </c>
      <c r="G47" s="1">
        <v>8.0300925925925917E-4</v>
      </c>
      <c r="H47" s="1">
        <v>8.763888888888889E-4</v>
      </c>
      <c r="I47" s="1">
        <v>1.6793981481481482E-3</v>
      </c>
      <c r="K47">
        <v>6991900</v>
      </c>
      <c r="L47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8.0300925925925917E-4</v>
      </c>
      <c r="M47" s="3">
        <f>IF(Table127163143556797[[#This Row],[run 1 times]]="",999.99,IF(Table127163143556797[[#This Row],[run 1 times]]=$S$3,0,MAX(0,ROUND(((Table127163143556797[[#This Row],[run 1 times]]-$S$3)/$S$3)*$T$6,2))))</f>
        <v>116.05</v>
      </c>
      <c r="N47" s="2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8.763888888888889E-4</v>
      </c>
      <c r="O47" s="3">
        <f>IF(Table127163143556797[[#This Row],[run2 times]]="",999.99,IF(Table127163143556797[[#This Row],[run2 times]]=$T$3,0,MAX(0,ROUND(((Table127163143556797[[#This Row],[run2 times]]-$T$3)/$T$3)*$T$6,2))))</f>
        <v>103.69</v>
      </c>
      <c r="P47" s="2">
        <f>IF(OR(Table127163143556797[[#This Row],[run 1 times]]="",Table127163143556797[[#This Row],[run2 times]]=""),"",Table127163143556797[[#This Row],[run 1 times]]+Table127163143556797[[#This Row],[run2 times]])</f>
        <v>1.6793981481481482E-3</v>
      </c>
      <c r="Q47" s="3">
        <f>IF(Table127163143556797[[#This Row],[total time]]="",999.99,IF(Table127163143556797[[#This Row],[total time]]=$U$3,0,MAX(0,ROUND(((Table127163143556797[[#This Row],[total time]]-$U$3)/$U$3)*$T$6,2))))</f>
        <v>109.56</v>
      </c>
    </row>
    <row r="48" spans="1:39" x14ac:dyDescent="0.3">
      <c r="A48">
        <v>29</v>
      </c>
      <c r="B48">
        <v>52</v>
      </c>
      <c r="C48" t="s">
        <v>223</v>
      </c>
      <c r="D48" t="s">
        <v>522</v>
      </c>
      <c r="E48" t="s">
        <v>538</v>
      </c>
      <c r="F48">
        <v>2012</v>
      </c>
      <c r="G48" s="1">
        <v>8.5972222222222222E-4</v>
      </c>
      <c r="H48" s="1">
        <v>9.1944444444444441E-4</v>
      </c>
      <c r="I48" s="1">
        <v>1.7791666666666667E-3</v>
      </c>
      <c r="K48">
        <v>102457</v>
      </c>
      <c r="L48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8.5972222222222222E-4</v>
      </c>
      <c r="M48" s="3">
        <f>IF(Table127163143556797[[#This Row],[run 1 times]]="",999.99,IF(Table127163143556797[[#This Row],[run 1 times]]=$S$3,0,MAX(0,ROUND(((Table127163143556797[[#This Row],[run 1 times]]-$S$3)/$S$3)*$T$6,2))))</f>
        <v>195.57</v>
      </c>
      <c r="N48" s="2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9.1944444444444441E-4</v>
      </c>
      <c r="O48" s="3">
        <f>IF(Table127163143556797[[#This Row],[run2 times]]="",999.99,IF(Table127163143556797[[#This Row],[run2 times]]=$T$3,0,MAX(0,ROUND(((Table127163143556797[[#This Row],[run2 times]]-$T$3)/$T$3)*$T$6,2))))</f>
        <v>158.41</v>
      </c>
      <c r="P48" s="2">
        <f>IF(OR(Table127163143556797[[#This Row],[run 1 times]]="",Table127163143556797[[#This Row],[run2 times]]=""),"",Table127163143556797[[#This Row],[run 1 times]]+Table127163143556797[[#This Row],[run2 times]])</f>
        <v>1.7791666666666667E-3</v>
      </c>
      <c r="Q48" s="3">
        <f>IF(Table127163143556797[[#This Row],[total time]]="",999.99,IF(Table127163143556797[[#This Row],[total time]]=$U$3,0,MAX(0,ROUND(((Table127163143556797[[#This Row],[total time]]-$U$3)/$U$3)*$T$6,2))))</f>
        <v>176.07</v>
      </c>
    </row>
    <row r="49" spans="1:17" x14ac:dyDescent="0.3">
      <c r="A49">
        <v>28</v>
      </c>
      <c r="B49">
        <v>53</v>
      </c>
      <c r="C49" t="s">
        <v>479</v>
      </c>
      <c r="D49" t="s">
        <v>522</v>
      </c>
      <c r="E49" t="s">
        <v>523</v>
      </c>
      <c r="F49">
        <v>2012</v>
      </c>
      <c r="G49" s="1">
        <v>8.1643518518518512E-4</v>
      </c>
      <c r="H49" s="1">
        <v>8.9027777777777781E-4</v>
      </c>
      <c r="I49" s="1">
        <v>1.706712962962963E-3</v>
      </c>
      <c r="K49">
        <v>94923</v>
      </c>
      <c r="L49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8.1643518518518512E-4</v>
      </c>
      <c r="M49" s="3">
        <f>IF(Table127163143556797[[#This Row],[run 1 times]]="",999.99,IF(Table127163143556797[[#This Row],[run 1 times]]=$S$3,0,MAX(0,ROUND(((Table127163143556797[[#This Row],[run 1 times]]-$S$3)/$S$3)*$T$6,2))))</f>
        <v>134.87</v>
      </c>
      <c r="N49" s="2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8.9027777777777781E-4</v>
      </c>
      <c r="O49" s="3">
        <f>IF(Table127163143556797[[#This Row],[run2 times]]="",999.99,IF(Table127163143556797[[#This Row],[run2 times]]=$T$3,0,MAX(0,ROUND(((Table127163143556797[[#This Row],[run2 times]]-$T$3)/$T$3)*$T$6,2))))</f>
        <v>121.34</v>
      </c>
      <c r="P49" s="2">
        <f>IF(OR(Table127163143556797[[#This Row],[run 1 times]]="",Table127163143556797[[#This Row],[run2 times]]=""),"",Table127163143556797[[#This Row],[run 1 times]]+Table127163143556797[[#This Row],[run2 times]])</f>
        <v>1.7067129629629628E-3</v>
      </c>
      <c r="Q49" s="3">
        <f>IF(Table127163143556797[[#This Row],[total time]]="",999.99,IF(Table127163143556797[[#This Row],[total time]]=$U$3,0,MAX(0,ROUND(((Table127163143556797[[#This Row],[total time]]-$U$3)/$U$3)*$T$6,2))))</f>
        <v>127.77</v>
      </c>
    </row>
    <row r="50" spans="1:17" x14ac:dyDescent="0.3">
      <c r="A50">
        <v>27</v>
      </c>
      <c r="B50">
        <v>54</v>
      </c>
      <c r="C50" t="s">
        <v>487</v>
      </c>
      <c r="D50" t="s">
        <v>480</v>
      </c>
      <c r="E50" t="s">
        <v>516</v>
      </c>
      <c r="F50">
        <v>2014</v>
      </c>
      <c r="G50" s="1">
        <v>9.7951388888888893E-4</v>
      </c>
      <c r="H50" s="1">
        <v>1.0664351851851852E-3</v>
      </c>
      <c r="I50" s="1">
        <v>2.0459490740740742E-3</v>
      </c>
      <c r="K50">
        <v>118201</v>
      </c>
      <c r="L50" s="2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9.7951388888888893E-4</v>
      </c>
      <c r="M50" s="3">
        <f>IF(Table127163143556797[[#This Row],[run 1 times]]="",999.99,IF(Table127163143556797[[#This Row],[run 1 times]]=$S$3,0,MAX(0,ROUND(((Table127163143556797[[#This Row],[run 1 times]]-$S$3)/$S$3)*$T$6,2))))</f>
        <v>363.55</v>
      </c>
      <c r="N50" s="2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1.0664351851851852E-3</v>
      </c>
      <c r="O50" s="3">
        <f>IF(Table127163143556797[[#This Row],[run2 times]]="",999.99,IF(Table127163143556797[[#This Row],[run2 times]]=$T$3,0,MAX(0,ROUND(((Table127163143556797[[#This Row],[run2 times]]-$T$3)/$T$3)*$T$6,2))))</f>
        <v>345.2</v>
      </c>
      <c r="P50" s="2">
        <f>IF(OR(Table127163143556797[[#This Row],[run 1 times]]="",Table127163143556797[[#This Row],[run2 times]]=""),"",Table127163143556797[[#This Row],[run 1 times]]+Table127163143556797[[#This Row],[run2 times]])</f>
        <v>2.0459490740740742E-3</v>
      </c>
      <c r="Q50" s="3">
        <f>IF(Table127163143556797[[#This Row],[total time]]="",999.99,IF(Table127163143556797[[#This Row],[total time]]=$U$3,0,MAX(0,ROUND(((Table127163143556797[[#This Row],[total time]]-$U$3)/$U$3)*$T$6,2))))</f>
        <v>353.92</v>
      </c>
    </row>
    <row r="51" spans="1:17" x14ac:dyDescent="0.3">
      <c r="A51">
        <v>17</v>
      </c>
      <c r="B51">
        <v>10</v>
      </c>
      <c r="C51" t="s">
        <v>24</v>
      </c>
      <c r="D51" t="s">
        <v>522</v>
      </c>
      <c r="E51" t="s">
        <v>529</v>
      </c>
      <c r="F51">
        <v>2013</v>
      </c>
      <c r="G51" s="1" t="s">
        <v>510</v>
      </c>
      <c r="H51" s="1" t="s">
        <v>510</v>
      </c>
      <c r="I51" s="1"/>
      <c r="K51">
        <v>93764</v>
      </c>
      <c r="L51" s="2" t="str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51" s="3">
        <f>IF(Table127163143556797[[#This Row],[run 1 times]]="",999.99,IF(Table127163143556797[[#This Row],[run 1 times]]=$S$3,0,MAX(0,ROUND(((Table127163143556797[[#This Row],[run 1 times]]-$S$3)/$S$3)*$T$6,2))))</f>
        <v>999.99</v>
      </c>
      <c r="N51" s="2" t="str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51" s="3">
        <f>IF(Table127163143556797[[#This Row],[run2 times]]="",999.99,IF(Table127163143556797[[#This Row],[run2 times]]=$T$3,0,MAX(0,ROUND(((Table127163143556797[[#This Row],[run2 times]]-$T$3)/$T$3)*$T$6,2))))</f>
        <v>999.99</v>
      </c>
      <c r="P51" s="2" t="str">
        <f>IF(OR(Table127163143556797[[#This Row],[run 1 times]]="",Table127163143556797[[#This Row],[run2 times]]=""),"",Table127163143556797[[#This Row],[run 1 times]]+Table127163143556797[[#This Row],[run2 times]])</f>
        <v/>
      </c>
      <c r="Q51" s="3">
        <f>IF(Table127163143556797[[#This Row],[total time]]="",999.99,IF(Table127163143556797[[#This Row],[total time]]=$U$3,0,MAX(0,ROUND(((Table127163143556797[[#This Row],[total time]]-$U$3)/$U$3)*$T$6,2))))</f>
        <v>999.99</v>
      </c>
    </row>
    <row r="52" spans="1:17" x14ac:dyDescent="0.3">
      <c r="A52">
        <v>50</v>
      </c>
      <c r="B52">
        <v>30</v>
      </c>
      <c r="C52" t="s">
        <v>24</v>
      </c>
      <c r="D52" t="s">
        <v>522</v>
      </c>
      <c r="E52" t="s">
        <v>539</v>
      </c>
      <c r="F52">
        <v>2012</v>
      </c>
      <c r="G52" s="1" t="s">
        <v>512</v>
      </c>
      <c r="H52" s="1" t="s">
        <v>510</v>
      </c>
      <c r="I52" s="1"/>
      <c r="K52">
        <v>102777</v>
      </c>
      <c r="L52" s="2" t="str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52" s="3">
        <f>IF(Table127163143556797[[#This Row],[run 1 times]]="",999.99,IF(Table127163143556797[[#This Row],[run 1 times]]=$S$3,0,MAX(0,ROUND(((Table127163143556797[[#This Row],[run 1 times]]-$S$3)/$S$3)*$T$6,2))))</f>
        <v>999.99</v>
      </c>
      <c r="N52" s="2" t="str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52" s="3">
        <f>IF(Table127163143556797[[#This Row],[run2 times]]="",999.99,IF(Table127163143556797[[#This Row],[run2 times]]=$T$3,0,MAX(0,ROUND(((Table127163143556797[[#This Row],[run2 times]]-$T$3)/$T$3)*$T$6,2))))</f>
        <v>999.99</v>
      </c>
      <c r="P52" s="2" t="str">
        <f>IF(OR(Table127163143556797[[#This Row],[run 1 times]]="",Table127163143556797[[#This Row],[run2 times]]=""),"",Table127163143556797[[#This Row],[run 1 times]]+Table127163143556797[[#This Row],[run2 times]])</f>
        <v/>
      </c>
      <c r="Q52" s="3">
        <f>IF(Table127163143556797[[#This Row],[total time]]="",999.99,IF(Table127163143556797[[#This Row],[total time]]=$U$3,0,MAX(0,ROUND(((Table127163143556797[[#This Row],[total time]]-$U$3)/$U$3)*$T$6,2))))</f>
        <v>999.99</v>
      </c>
    </row>
    <row r="53" spans="1:17" x14ac:dyDescent="0.3">
      <c r="A53">
        <v>49</v>
      </c>
      <c r="B53">
        <v>31</v>
      </c>
      <c r="C53" t="s">
        <v>257</v>
      </c>
      <c r="D53" t="s">
        <v>522</v>
      </c>
      <c r="E53" t="s">
        <v>544</v>
      </c>
      <c r="F53">
        <v>2013</v>
      </c>
      <c r="G53" s="1" t="s">
        <v>510</v>
      </c>
      <c r="H53" s="1" t="s">
        <v>510</v>
      </c>
      <c r="I53" s="1"/>
      <c r="K53">
        <v>117955</v>
      </c>
      <c r="L53" s="2" t="str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53" s="3">
        <f>IF(Table127163143556797[[#This Row],[run 1 times]]="",999.99,IF(Table127163143556797[[#This Row],[run 1 times]]=$S$3,0,MAX(0,ROUND(((Table127163143556797[[#This Row],[run 1 times]]-$S$3)/$S$3)*$T$6,2))))</f>
        <v>999.99</v>
      </c>
      <c r="N53" s="2" t="str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53" s="3">
        <f>IF(Table127163143556797[[#This Row],[run2 times]]="",999.99,IF(Table127163143556797[[#This Row],[run2 times]]=$T$3,0,MAX(0,ROUND(((Table127163143556797[[#This Row],[run2 times]]-$T$3)/$T$3)*$T$6,2))))</f>
        <v>999.99</v>
      </c>
      <c r="P53" s="2" t="str">
        <f>IF(OR(Table127163143556797[[#This Row],[run 1 times]]="",Table127163143556797[[#This Row],[run2 times]]=""),"",Table127163143556797[[#This Row],[run 1 times]]+Table127163143556797[[#This Row],[run2 times]])</f>
        <v/>
      </c>
      <c r="Q53" s="3">
        <f>IF(Table127163143556797[[#This Row],[total time]]="",999.99,IF(Table127163143556797[[#This Row],[total time]]=$U$3,0,MAX(0,ROUND(((Table127163143556797[[#This Row],[total time]]-$U$3)/$U$3)*$T$6,2))))</f>
        <v>999.99</v>
      </c>
    </row>
    <row r="54" spans="1:17" x14ac:dyDescent="0.3">
      <c r="A54">
        <v>42</v>
      </c>
      <c r="B54">
        <v>39</v>
      </c>
      <c r="C54" t="s">
        <v>851</v>
      </c>
      <c r="D54" t="s">
        <v>522</v>
      </c>
      <c r="E54" t="s">
        <v>872</v>
      </c>
      <c r="F54">
        <v>2013</v>
      </c>
      <c r="G54" s="1" t="s">
        <v>510</v>
      </c>
      <c r="H54" s="1" t="s">
        <v>510</v>
      </c>
      <c r="I54" s="1"/>
      <c r="K54">
        <v>6991747</v>
      </c>
      <c r="L54" s="2" t="str">
        <f>_xlfn.LET(_xlpm.x,Table127163143556797[[#This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54" s="3">
        <f>IF(Table127163143556797[[#This Row],[run 1 times]]="",999.99,IF(Table127163143556797[[#This Row],[run 1 times]]=$S$3,0,MAX(0,ROUND(((Table127163143556797[[#This Row],[run 1 times]]-$S$3)/$S$3)*$T$6,2))))</f>
        <v>999.99</v>
      </c>
      <c r="N54" s="2" t="str">
        <f>_xlfn.LET(_xlpm.x,Table127163143556797[[#This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54" s="3">
        <f>IF(Table127163143556797[[#This Row],[run2 times]]="",999.99,IF(Table127163143556797[[#This Row],[run2 times]]=$T$3,0,MAX(0,ROUND(((Table127163143556797[[#This Row],[run2 times]]-$T$3)/$T$3)*$T$6,2))))</f>
        <v>999.99</v>
      </c>
      <c r="P54" s="2" t="str">
        <f>IF(OR(Table127163143556797[[#This Row],[run 1 times]]="",Table127163143556797[[#This Row],[run2 times]]=""),"",Table127163143556797[[#This Row],[run 1 times]]+Table127163143556797[[#This Row],[run2 times]])</f>
        <v/>
      </c>
      <c r="Q54" s="3">
        <f>IF(Table127163143556797[[#This Row],[total time]]="",999.99,IF(Table127163143556797[[#This Row],[total time]]=$U$3,0,MAX(0,ROUND(((Table127163143556797[[#This Row],[total time]]-$U$3)/$U$3)*$T$6,2))))</f>
        <v>999.99</v>
      </c>
    </row>
  </sheetData>
  <mergeCells count="2">
    <mergeCell ref="A1:U1"/>
    <mergeCell ref="W1:AQ1"/>
  </mergeCells>
  <pageMargins left="0.7" right="0.7" top="0.75" bottom="0.75" header="0.3" footer="0.3"/>
  <tableParts count="6">
    <tablePart r:id="rId1"/>
    <tablePart r:id="rId2"/>
    <tablePart r:id="rId3"/>
    <tablePart r:id="rId4"/>
    <tablePart r:id="rId5"/>
    <tablePart r:id="rId6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46331-4EFB-48E9-9B68-94A8C3E83C48}">
  <dimension ref="A1:AD56"/>
  <sheetViews>
    <sheetView topLeftCell="A12" workbookViewId="0">
      <selection activeCell="A37" sqref="A37"/>
    </sheetView>
  </sheetViews>
  <sheetFormatPr defaultRowHeight="14.4" x14ac:dyDescent="0.3"/>
  <cols>
    <col min="2" max="2" width="14.77734375" customWidth="1"/>
    <col min="9" max="9" width="11.5546875" customWidth="1"/>
    <col min="10" max="10" width="9.44140625" customWidth="1"/>
    <col min="11" max="11" width="10.21875" customWidth="1"/>
    <col min="12" max="12" width="12.33203125" customWidth="1"/>
    <col min="13" max="13" width="15.44140625" customWidth="1"/>
    <col min="15" max="15" width="15" customWidth="1"/>
    <col min="16" max="16" width="19.44140625" customWidth="1"/>
    <col min="17" max="17" width="11.6640625" customWidth="1"/>
    <col min="18" max="18" width="11.88671875" customWidth="1"/>
    <col min="28" max="28" width="10.21875" customWidth="1"/>
    <col min="29" max="29" width="10" customWidth="1"/>
  </cols>
  <sheetData>
    <row r="1" spans="1:30" x14ac:dyDescent="0.3">
      <c r="A1" t="s">
        <v>0</v>
      </c>
      <c r="B1" t="s">
        <v>363</v>
      </c>
      <c r="C1" t="s">
        <v>364</v>
      </c>
      <c r="D1" t="s">
        <v>1</v>
      </c>
      <c r="E1" t="s">
        <v>2</v>
      </c>
      <c r="F1" t="s">
        <v>3</v>
      </c>
      <c r="G1" t="s">
        <v>370</v>
      </c>
      <c r="H1" t="s">
        <v>4</v>
      </c>
      <c r="I1" t="s">
        <v>5</v>
      </c>
      <c r="J1" t="s">
        <v>6</v>
      </c>
      <c r="K1" t="s">
        <v>7</v>
      </c>
      <c r="L1" t="s">
        <v>8</v>
      </c>
      <c r="M1" t="s">
        <v>9</v>
      </c>
      <c r="N1" t="s">
        <v>10</v>
      </c>
      <c r="O1" t="s">
        <v>11</v>
      </c>
      <c r="P1" t="s">
        <v>12</v>
      </c>
      <c r="Q1" t="s">
        <v>13</v>
      </c>
      <c r="R1" t="s">
        <v>14</v>
      </c>
      <c r="S1" t="s">
        <v>15</v>
      </c>
      <c r="T1" t="s">
        <v>16</v>
      </c>
      <c r="U1" t="s">
        <v>17</v>
      </c>
      <c r="V1" t="s">
        <v>18</v>
      </c>
      <c r="W1" t="s">
        <v>19</v>
      </c>
      <c r="AA1" t="s">
        <v>3</v>
      </c>
      <c r="AB1" t="s">
        <v>354</v>
      </c>
      <c r="AC1" t="s">
        <v>361</v>
      </c>
      <c r="AD1" t="s">
        <v>362</v>
      </c>
    </row>
    <row r="2" spans="1:30" x14ac:dyDescent="0.3">
      <c r="A2">
        <v>122284</v>
      </c>
      <c r="B2" t="str">
        <f>CONCATENATE(Table4[[#This Row],[Fname]]," ",Table4[[#This Row],[Lname]])</f>
        <v>Charlotte Cong</v>
      </c>
      <c r="C2" t="str">
        <f>CONCATENATE(Table4[[#This Row],[Sex]],"-",Table4[[#This Row],[Column3]])</f>
        <v>F-u10</v>
      </c>
      <c r="D2" t="s">
        <v>45</v>
      </c>
      <c r="E2" t="s">
        <v>391</v>
      </c>
      <c r="F2">
        <v>2016</v>
      </c>
      <c r="G2" t="str">
        <f>_xlfn.XLOOKUP(Table4[[#This Row],[YOB]],Table5[YOB],Table5[Category])</f>
        <v>u10</v>
      </c>
      <c r="H2" t="s">
        <v>36</v>
      </c>
      <c r="I2" t="s">
        <v>372</v>
      </c>
      <c r="J2" t="s">
        <v>373</v>
      </c>
      <c r="K2" t="s">
        <v>373</v>
      </c>
      <c r="L2" t="s">
        <v>374</v>
      </c>
      <c r="M2" t="s">
        <v>375</v>
      </c>
      <c r="N2" t="s">
        <v>373</v>
      </c>
      <c r="O2" t="s">
        <v>28</v>
      </c>
      <c r="P2" t="s">
        <v>29</v>
      </c>
      <c r="Q2">
        <v>0</v>
      </c>
      <c r="R2" t="s">
        <v>30</v>
      </c>
      <c r="S2">
        <v>999</v>
      </c>
      <c r="T2">
        <v>999</v>
      </c>
      <c r="U2">
        <v>999</v>
      </c>
      <c r="V2">
        <v>999</v>
      </c>
      <c r="W2">
        <v>999</v>
      </c>
      <c r="AA2">
        <v>2007</v>
      </c>
      <c r="AB2" t="s">
        <v>355</v>
      </c>
      <c r="AC2">
        <v>2025</v>
      </c>
      <c r="AD2">
        <v>18</v>
      </c>
    </row>
    <row r="3" spans="1:30" x14ac:dyDescent="0.3">
      <c r="A3">
        <v>127967</v>
      </c>
      <c r="B3" t="str">
        <f>CONCATENATE(Table4[[#This Row],[Fname]]," ",Table4[[#This Row],[Lname]])</f>
        <v>Menadora Murnaghan</v>
      </c>
      <c r="C3" t="str">
        <f>CONCATENATE(Table4[[#This Row],[Sex]],"-",Table4[[#This Row],[Column3]])</f>
        <v>F-u10</v>
      </c>
      <c r="D3" t="s">
        <v>426</v>
      </c>
      <c r="E3" t="s">
        <v>425</v>
      </c>
      <c r="F3">
        <v>2016</v>
      </c>
      <c r="G3" t="str">
        <f>_xlfn.XLOOKUP(Table4[[#This Row],[YOB]],Table5[YOB],Table5[Category])</f>
        <v>u10</v>
      </c>
      <c r="H3" t="s">
        <v>36</v>
      </c>
      <c r="I3" t="s">
        <v>372</v>
      </c>
      <c r="J3" t="s">
        <v>373</v>
      </c>
      <c r="K3" t="s">
        <v>373</v>
      </c>
      <c r="L3" t="s">
        <v>374</v>
      </c>
      <c r="M3" t="s">
        <v>375</v>
      </c>
      <c r="N3" t="s">
        <v>373</v>
      </c>
      <c r="O3" t="s">
        <v>28</v>
      </c>
      <c r="P3" t="s">
        <v>29</v>
      </c>
      <c r="Q3">
        <v>0</v>
      </c>
      <c r="R3" t="s">
        <v>30</v>
      </c>
      <c r="S3">
        <v>999</v>
      </c>
      <c r="T3">
        <v>999</v>
      </c>
      <c r="U3">
        <v>999</v>
      </c>
      <c r="V3">
        <v>999</v>
      </c>
      <c r="W3">
        <v>999</v>
      </c>
      <c r="AA3">
        <v>2008</v>
      </c>
      <c r="AB3" t="s">
        <v>355</v>
      </c>
      <c r="AC3">
        <v>2025</v>
      </c>
      <c r="AD3">
        <v>17</v>
      </c>
    </row>
    <row r="4" spans="1:30" x14ac:dyDescent="0.3">
      <c r="A4">
        <v>127951</v>
      </c>
      <c r="B4" t="str">
        <f>CONCATENATE(Table4[[#This Row],[Fname]]," ",Table4[[#This Row],[Lname]])</f>
        <v>Meara Steele</v>
      </c>
      <c r="C4" t="str">
        <f>CONCATENATE(Table4[[#This Row],[Sex]],"-",Table4[[#This Row],[Column3]])</f>
        <v>F-u10</v>
      </c>
      <c r="D4" t="s">
        <v>439</v>
      </c>
      <c r="E4" t="s">
        <v>437</v>
      </c>
      <c r="F4">
        <v>2016</v>
      </c>
      <c r="G4" t="str">
        <f>_xlfn.XLOOKUP(Table4[[#This Row],[YOB]],Table5[YOB],Table5[Category])</f>
        <v>u10</v>
      </c>
      <c r="H4" t="s">
        <v>36</v>
      </c>
      <c r="I4" t="s">
        <v>372</v>
      </c>
      <c r="J4" t="s">
        <v>373</v>
      </c>
      <c r="K4" t="s">
        <v>373</v>
      </c>
      <c r="L4" t="s">
        <v>374</v>
      </c>
      <c r="M4" t="s">
        <v>375</v>
      </c>
      <c r="N4" t="s">
        <v>373</v>
      </c>
      <c r="O4" t="s">
        <v>28</v>
      </c>
      <c r="P4" t="s">
        <v>29</v>
      </c>
      <c r="Q4">
        <v>0</v>
      </c>
      <c r="R4" t="s">
        <v>30</v>
      </c>
      <c r="S4">
        <v>999</v>
      </c>
      <c r="T4">
        <v>999</v>
      </c>
      <c r="U4">
        <v>999</v>
      </c>
      <c r="V4">
        <v>999</v>
      </c>
      <c r="W4">
        <v>999</v>
      </c>
      <c r="AA4">
        <v>2009</v>
      </c>
      <c r="AB4" t="s">
        <v>355</v>
      </c>
      <c r="AC4">
        <v>2025</v>
      </c>
      <c r="AD4">
        <v>16</v>
      </c>
    </row>
    <row r="5" spans="1:30" x14ac:dyDescent="0.3">
      <c r="A5">
        <v>127952</v>
      </c>
      <c r="B5" t="str">
        <f>CONCATENATE(Table4[[#This Row],[Fname]]," ",Table4[[#This Row],[Lname]])</f>
        <v>Kate Sui</v>
      </c>
      <c r="C5" t="str">
        <f>CONCATENATE(Table4[[#This Row],[Sex]],"-",Table4[[#This Row],[Column3]])</f>
        <v>F-u10</v>
      </c>
      <c r="D5" t="s">
        <v>301</v>
      </c>
      <c r="E5" t="s">
        <v>440</v>
      </c>
      <c r="F5">
        <v>2016</v>
      </c>
      <c r="G5" t="str">
        <f>_xlfn.XLOOKUP(Table4[[#This Row],[YOB]],Table5[YOB],Table5[Category])</f>
        <v>u10</v>
      </c>
      <c r="H5" t="s">
        <v>36</v>
      </c>
      <c r="I5" t="s">
        <v>372</v>
      </c>
      <c r="J5" t="s">
        <v>373</v>
      </c>
      <c r="K5" t="s">
        <v>373</v>
      </c>
      <c r="L5" t="s">
        <v>374</v>
      </c>
      <c r="M5" t="s">
        <v>375</v>
      </c>
      <c r="N5" t="s">
        <v>373</v>
      </c>
      <c r="O5" t="s">
        <v>28</v>
      </c>
      <c r="P5" t="s">
        <v>29</v>
      </c>
      <c r="Q5">
        <v>0</v>
      </c>
      <c r="R5" t="s">
        <v>30</v>
      </c>
      <c r="S5">
        <v>999</v>
      </c>
      <c r="T5">
        <v>999</v>
      </c>
      <c r="U5">
        <v>999</v>
      </c>
      <c r="V5">
        <v>999</v>
      </c>
      <c r="W5">
        <v>999</v>
      </c>
      <c r="AA5">
        <v>2010</v>
      </c>
      <c r="AB5" t="s">
        <v>356</v>
      </c>
      <c r="AC5">
        <v>2025</v>
      </c>
      <c r="AD5">
        <v>15</v>
      </c>
    </row>
    <row r="6" spans="1:30" x14ac:dyDescent="0.3">
      <c r="A6">
        <v>127953</v>
      </c>
      <c r="B6" t="str">
        <f>CONCATENATE(Table4[[#This Row],[Fname]]," ",Table4[[#This Row],[Lname]])</f>
        <v>Elora Zhang</v>
      </c>
      <c r="C6" t="str">
        <f>CONCATENATE(Table4[[#This Row],[Sex]],"-",Table4[[#This Row],[Column3]])</f>
        <v>F-u10</v>
      </c>
      <c r="D6" t="s">
        <v>445</v>
      </c>
      <c r="E6" t="s">
        <v>446</v>
      </c>
      <c r="F6">
        <v>2016</v>
      </c>
      <c r="G6" t="str">
        <f>_xlfn.XLOOKUP(Table4[[#This Row],[YOB]],Table5[YOB],Table5[Category])</f>
        <v>u10</v>
      </c>
      <c r="H6" t="s">
        <v>36</v>
      </c>
      <c r="I6" t="s">
        <v>372</v>
      </c>
      <c r="J6" t="s">
        <v>373</v>
      </c>
      <c r="K6" t="s">
        <v>373</v>
      </c>
      <c r="L6" t="s">
        <v>374</v>
      </c>
      <c r="M6" t="s">
        <v>375</v>
      </c>
      <c r="N6" t="s">
        <v>373</v>
      </c>
      <c r="O6" t="s">
        <v>28</v>
      </c>
      <c r="P6" t="s">
        <v>29</v>
      </c>
      <c r="Q6">
        <v>0</v>
      </c>
      <c r="R6" t="s">
        <v>30</v>
      </c>
      <c r="S6">
        <v>999</v>
      </c>
      <c r="T6">
        <v>999</v>
      </c>
      <c r="U6">
        <v>999</v>
      </c>
      <c r="V6">
        <v>999</v>
      </c>
      <c r="W6">
        <v>999</v>
      </c>
      <c r="AA6">
        <v>2011</v>
      </c>
      <c r="AB6" t="s">
        <v>356</v>
      </c>
      <c r="AC6">
        <v>2025</v>
      </c>
      <c r="AD6">
        <v>14</v>
      </c>
    </row>
    <row r="7" spans="1:30" x14ac:dyDescent="0.3">
      <c r="A7">
        <v>127950</v>
      </c>
      <c r="B7" t="str">
        <f>CONCATENATE(Table4[[#This Row],[Fname]]," ",Table4[[#This Row],[Lname]])</f>
        <v>Emily Zhang</v>
      </c>
      <c r="C7" t="str">
        <f>CONCATENATE(Table4[[#This Row],[Sex]],"-",Table4[[#This Row],[Column3]])</f>
        <v>F-u10</v>
      </c>
      <c r="D7" t="s">
        <v>447</v>
      </c>
      <c r="E7" t="s">
        <v>446</v>
      </c>
      <c r="F7">
        <v>2016</v>
      </c>
      <c r="G7" t="str">
        <f>_xlfn.XLOOKUP(Table4[[#This Row],[YOB]],Table5[YOB],Table5[Category])</f>
        <v>u10</v>
      </c>
      <c r="H7" t="s">
        <v>36</v>
      </c>
      <c r="I7" t="s">
        <v>372</v>
      </c>
      <c r="J7" t="s">
        <v>373</v>
      </c>
      <c r="K7" t="s">
        <v>373</v>
      </c>
      <c r="L7" t="s">
        <v>374</v>
      </c>
      <c r="M7" t="s">
        <v>375</v>
      </c>
      <c r="N7" t="s">
        <v>373</v>
      </c>
      <c r="O7" t="s">
        <v>28</v>
      </c>
      <c r="P7" t="s">
        <v>29</v>
      </c>
      <c r="Q7">
        <v>0</v>
      </c>
      <c r="R7" t="s">
        <v>30</v>
      </c>
      <c r="S7">
        <v>999</v>
      </c>
      <c r="T7">
        <v>999</v>
      </c>
      <c r="U7">
        <v>999</v>
      </c>
      <c r="V7">
        <v>999</v>
      </c>
      <c r="W7">
        <v>999</v>
      </c>
      <c r="AA7">
        <v>2012</v>
      </c>
      <c r="AB7" t="s">
        <v>357</v>
      </c>
      <c r="AC7">
        <v>2025</v>
      </c>
      <c r="AD7">
        <v>13</v>
      </c>
    </row>
    <row r="8" spans="1:30" x14ac:dyDescent="0.3">
      <c r="A8">
        <v>127948</v>
      </c>
      <c r="B8" t="str">
        <f>CONCATENATE(Table4[[#This Row],[Fname]]," ",Table4[[#This Row],[Lname]])</f>
        <v>Bethan Blacquiere</v>
      </c>
      <c r="C8" t="str">
        <f>CONCATENATE(Table4[[#This Row],[Sex]],"-",Table4[[#This Row],[Column3]])</f>
        <v>F-u10</v>
      </c>
      <c r="D8" t="s">
        <v>377</v>
      </c>
      <c r="E8" t="s">
        <v>378</v>
      </c>
      <c r="F8">
        <v>2017</v>
      </c>
      <c r="G8" t="str">
        <f>_xlfn.XLOOKUP(Table4[[#This Row],[YOB]],Table5[YOB],Table5[Category])</f>
        <v>u10</v>
      </c>
      <c r="H8" t="s">
        <v>36</v>
      </c>
      <c r="I8" t="s">
        <v>372</v>
      </c>
      <c r="J8" t="s">
        <v>373</v>
      </c>
      <c r="K8" t="s">
        <v>373</v>
      </c>
      <c r="L8" t="s">
        <v>374</v>
      </c>
      <c r="M8" t="s">
        <v>375</v>
      </c>
      <c r="N8" t="s">
        <v>373</v>
      </c>
      <c r="O8" t="s">
        <v>28</v>
      </c>
      <c r="P8" t="s">
        <v>29</v>
      </c>
      <c r="Q8">
        <v>0</v>
      </c>
      <c r="R8" t="s">
        <v>30</v>
      </c>
      <c r="S8">
        <v>999</v>
      </c>
      <c r="T8">
        <v>999</v>
      </c>
      <c r="U8">
        <v>999</v>
      </c>
      <c r="V8">
        <v>999</v>
      </c>
      <c r="W8">
        <v>999</v>
      </c>
      <c r="AA8">
        <v>2013</v>
      </c>
      <c r="AB8" t="s">
        <v>357</v>
      </c>
      <c r="AC8">
        <v>2025</v>
      </c>
      <c r="AD8">
        <v>12</v>
      </c>
    </row>
    <row r="9" spans="1:30" x14ac:dyDescent="0.3">
      <c r="A9">
        <v>122054</v>
      </c>
      <c r="B9" t="str">
        <f>CONCATENATE(Table4[[#This Row],[Fname]]," ",Table4[[#This Row],[Lname]])</f>
        <v>Maeve Brown</v>
      </c>
      <c r="C9" t="str">
        <f>CONCATENATE(Table4[[#This Row],[Sex]],"-",Table4[[#This Row],[Column3]])</f>
        <v>F-u10</v>
      </c>
      <c r="D9" t="s">
        <v>384</v>
      </c>
      <c r="E9" t="s">
        <v>381</v>
      </c>
      <c r="F9">
        <v>2017</v>
      </c>
      <c r="G9" t="str">
        <f>_xlfn.XLOOKUP(Table4[[#This Row],[YOB]],Table5[YOB],Table5[Category])</f>
        <v>u10</v>
      </c>
      <c r="H9" t="s">
        <v>36</v>
      </c>
      <c r="I9" t="s">
        <v>372</v>
      </c>
      <c r="J9" t="s">
        <v>373</v>
      </c>
      <c r="K9" t="s">
        <v>373</v>
      </c>
      <c r="L9" t="s">
        <v>374</v>
      </c>
      <c r="M9" t="s">
        <v>375</v>
      </c>
      <c r="N9" t="s">
        <v>373</v>
      </c>
      <c r="O9" t="s">
        <v>28</v>
      </c>
      <c r="P9" t="s">
        <v>29</v>
      </c>
      <c r="Q9">
        <v>0</v>
      </c>
      <c r="R9" t="s">
        <v>30</v>
      </c>
      <c r="S9">
        <v>999</v>
      </c>
      <c r="T9">
        <v>999</v>
      </c>
      <c r="U9">
        <v>999</v>
      </c>
      <c r="V9">
        <v>999</v>
      </c>
      <c r="W9">
        <v>999</v>
      </c>
      <c r="AA9">
        <v>2014</v>
      </c>
      <c r="AB9" t="s">
        <v>358</v>
      </c>
      <c r="AC9">
        <v>2025</v>
      </c>
      <c r="AD9">
        <v>11</v>
      </c>
    </row>
    <row r="10" spans="1:30" x14ac:dyDescent="0.3">
      <c r="A10">
        <v>122056</v>
      </c>
      <c r="B10" t="str">
        <f>CONCATENATE(Table4[[#This Row],[Fname]]," ",Table4[[#This Row],[Lname]])</f>
        <v>Luna Gong</v>
      </c>
      <c r="C10" t="str">
        <f>CONCATENATE(Table4[[#This Row],[Sex]],"-",Table4[[#This Row],[Column3]])</f>
        <v>F-u10</v>
      </c>
      <c r="D10" t="s">
        <v>397</v>
      </c>
      <c r="E10" t="s">
        <v>398</v>
      </c>
      <c r="F10">
        <v>2017</v>
      </c>
      <c r="G10" t="str">
        <f>_xlfn.XLOOKUP(Table4[[#This Row],[YOB]],Table5[YOB],Table5[Category])</f>
        <v>u10</v>
      </c>
      <c r="H10" t="s">
        <v>36</v>
      </c>
      <c r="I10" t="s">
        <v>372</v>
      </c>
      <c r="J10" t="s">
        <v>373</v>
      </c>
      <c r="K10" t="s">
        <v>373</v>
      </c>
      <c r="L10" t="s">
        <v>374</v>
      </c>
      <c r="M10" t="s">
        <v>375</v>
      </c>
      <c r="N10" t="s">
        <v>373</v>
      </c>
      <c r="O10" t="s">
        <v>28</v>
      </c>
      <c r="P10" t="s">
        <v>29</v>
      </c>
      <c r="Q10">
        <v>0</v>
      </c>
      <c r="R10" t="s">
        <v>30</v>
      </c>
      <c r="S10">
        <v>999</v>
      </c>
      <c r="T10">
        <v>999</v>
      </c>
      <c r="U10">
        <v>999</v>
      </c>
      <c r="V10">
        <v>999</v>
      </c>
      <c r="W10">
        <v>999</v>
      </c>
      <c r="AA10">
        <v>2015</v>
      </c>
      <c r="AB10" t="s">
        <v>358</v>
      </c>
      <c r="AC10">
        <v>2025</v>
      </c>
      <c r="AD10">
        <v>10</v>
      </c>
    </row>
    <row r="11" spans="1:30" x14ac:dyDescent="0.3">
      <c r="A11">
        <v>127947</v>
      </c>
      <c r="B11" t="str">
        <f>CONCATENATE(Table4[[#This Row],[Fname]]," ",Table4[[#This Row],[Lname]])</f>
        <v>Rory Phillips</v>
      </c>
      <c r="C11" t="str">
        <f>CONCATENATE(Table4[[#This Row],[Sex]],"-",Table4[[#This Row],[Column3]])</f>
        <v>F-u10</v>
      </c>
      <c r="D11" t="s">
        <v>427</v>
      </c>
      <c r="E11" t="s">
        <v>330</v>
      </c>
      <c r="F11">
        <v>2017</v>
      </c>
      <c r="G11" t="str">
        <f>_xlfn.XLOOKUP(Table4[[#This Row],[YOB]],Table5[YOB],Table5[Category])</f>
        <v>u10</v>
      </c>
      <c r="H11" t="s">
        <v>36</v>
      </c>
      <c r="I11" t="s">
        <v>372</v>
      </c>
      <c r="J11" t="s">
        <v>373</v>
      </c>
      <c r="K11" t="s">
        <v>373</v>
      </c>
      <c r="L11" t="s">
        <v>374</v>
      </c>
      <c r="M11" t="s">
        <v>375</v>
      </c>
      <c r="N11" t="s">
        <v>373</v>
      </c>
      <c r="O11" t="s">
        <v>28</v>
      </c>
      <c r="P11" t="s">
        <v>29</v>
      </c>
      <c r="Q11">
        <v>0</v>
      </c>
      <c r="R11" t="s">
        <v>30</v>
      </c>
      <c r="S11">
        <v>999</v>
      </c>
      <c r="T11">
        <v>999</v>
      </c>
      <c r="U11">
        <v>999</v>
      </c>
      <c r="V11">
        <v>999</v>
      </c>
      <c r="W11">
        <v>999</v>
      </c>
      <c r="AA11">
        <v>2016</v>
      </c>
      <c r="AB11" t="s">
        <v>359</v>
      </c>
      <c r="AC11">
        <v>2025</v>
      </c>
      <c r="AD11">
        <v>9</v>
      </c>
    </row>
    <row r="12" spans="1:30" x14ac:dyDescent="0.3">
      <c r="A12">
        <v>127949</v>
      </c>
      <c r="B12" t="str">
        <f>CONCATENATE(Table4[[#This Row],[Fname]]," ",Table4[[#This Row],[Lname]])</f>
        <v>Aaron He</v>
      </c>
      <c r="C12" t="str">
        <f>CONCATENATE(Table4[[#This Row],[Sex]],"-",Table4[[#This Row],[Column3]])</f>
        <v>M-u10</v>
      </c>
      <c r="D12" t="s">
        <v>400</v>
      </c>
      <c r="E12" t="s">
        <v>401</v>
      </c>
      <c r="F12">
        <v>2016</v>
      </c>
      <c r="G12" t="str">
        <f>_xlfn.XLOOKUP(Table4[[#This Row],[YOB]],Table5[YOB],Table5[Category])</f>
        <v>u10</v>
      </c>
      <c r="H12" t="s">
        <v>22</v>
      </c>
      <c r="I12" t="s">
        <v>372</v>
      </c>
      <c r="J12" t="s">
        <v>373</v>
      </c>
      <c r="K12" t="s">
        <v>373</v>
      </c>
      <c r="L12" t="s">
        <v>374</v>
      </c>
      <c r="M12" t="s">
        <v>375</v>
      </c>
      <c r="N12" t="s">
        <v>373</v>
      </c>
      <c r="O12" t="s">
        <v>28</v>
      </c>
      <c r="P12" t="s">
        <v>29</v>
      </c>
      <c r="Q12">
        <v>0</v>
      </c>
      <c r="R12" t="s">
        <v>30</v>
      </c>
      <c r="S12">
        <v>999</v>
      </c>
      <c r="T12">
        <v>999</v>
      </c>
      <c r="U12">
        <v>999</v>
      </c>
      <c r="V12">
        <v>999</v>
      </c>
      <c r="W12">
        <v>999</v>
      </c>
      <c r="AA12">
        <v>2017</v>
      </c>
      <c r="AB12" t="s">
        <v>359</v>
      </c>
      <c r="AC12">
        <v>2025</v>
      </c>
      <c r="AD12">
        <v>8</v>
      </c>
    </row>
    <row r="13" spans="1:30" x14ac:dyDescent="0.3">
      <c r="A13">
        <v>125162</v>
      </c>
      <c r="B13" t="str">
        <f>CONCATENATE(Table4[[#This Row],[Fname]]," ",Table4[[#This Row],[Lname]])</f>
        <v>Clark Morrow</v>
      </c>
      <c r="C13" t="str">
        <f>CONCATENATE(Table4[[#This Row],[Sex]],"-",Table4[[#This Row],[Column3]])</f>
        <v>M-u10</v>
      </c>
      <c r="D13" t="s">
        <v>422</v>
      </c>
      <c r="E13" t="s">
        <v>423</v>
      </c>
      <c r="F13">
        <v>2016</v>
      </c>
      <c r="G13" t="str">
        <f>_xlfn.XLOOKUP(Table4[[#This Row],[YOB]],Table5[YOB],Table5[Category])</f>
        <v>u10</v>
      </c>
      <c r="H13" t="s">
        <v>22</v>
      </c>
      <c r="I13" t="s">
        <v>372</v>
      </c>
      <c r="J13" t="s">
        <v>373</v>
      </c>
      <c r="K13" t="s">
        <v>373</v>
      </c>
      <c r="L13" t="s">
        <v>374</v>
      </c>
      <c r="M13" t="s">
        <v>375</v>
      </c>
      <c r="N13" t="s">
        <v>373</v>
      </c>
      <c r="O13" t="s">
        <v>28</v>
      </c>
      <c r="P13" t="s">
        <v>29</v>
      </c>
      <c r="Q13">
        <v>0</v>
      </c>
      <c r="R13" t="s">
        <v>30</v>
      </c>
      <c r="S13">
        <v>999</v>
      </c>
      <c r="T13">
        <v>999</v>
      </c>
      <c r="U13">
        <v>999</v>
      </c>
      <c r="V13">
        <v>999</v>
      </c>
      <c r="W13">
        <v>999</v>
      </c>
      <c r="AA13">
        <v>2018</v>
      </c>
      <c r="AB13" t="s">
        <v>360</v>
      </c>
      <c r="AC13">
        <v>2025</v>
      </c>
      <c r="AD13">
        <v>7</v>
      </c>
    </row>
    <row r="14" spans="1:30" x14ac:dyDescent="0.3">
      <c r="A14">
        <v>119109</v>
      </c>
      <c r="B14" t="str">
        <f>CONCATENATE(Table4[[#This Row],[Fname]]," ",Table4[[#This Row],[Lname]])</f>
        <v>Jenson Pickard</v>
      </c>
      <c r="C14" t="str">
        <f>CONCATENATE(Table4[[#This Row],[Sex]],"-",Table4[[#This Row],[Column3]])</f>
        <v>M-u10</v>
      </c>
      <c r="D14" t="s">
        <v>428</v>
      </c>
      <c r="E14" t="s">
        <v>429</v>
      </c>
      <c r="F14">
        <v>2016</v>
      </c>
      <c r="G14" t="str">
        <f>_xlfn.XLOOKUP(Table4[[#This Row],[YOB]],Table5[YOB],Table5[Category])</f>
        <v>u10</v>
      </c>
      <c r="H14" t="s">
        <v>22</v>
      </c>
      <c r="I14" t="s">
        <v>372</v>
      </c>
      <c r="J14" t="s">
        <v>373</v>
      </c>
      <c r="K14" t="s">
        <v>373</v>
      </c>
      <c r="L14" t="s">
        <v>374</v>
      </c>
      <c r="M14" t="s">
        <v>375</v>
      </c>
      <c r="N14" t="s">
        <v>373</v>
      </c>
      <c r="O14" t="s">
        <v>28</v>
      </c>
      <c r="P14" t="s">
        <v>29</v>
      </c>
      <c r="Q14">
        <v>0</v>
      </c>
      <c r="R14" t="s">
        <v>30</v>
      </c>
      <c r="S14">
        <v>999</v>
      </c>
      <c r="T14">
        <v>999</v>
      </c>
      <c r="U14">
        <v>999</v>
      </c>
      <c r="V14">
        <v>999</v>
      </c>
      <c r="W14">
        <v>999</v>
      </c>
      <c r="AA14">
        <v>2019</v>
      </c>
      <c r="AB14" t="s">
        <v>360</v>
      </c>
      <c r="AC14">
        <v>2025</v>
      </c>
      <c r="AD14">
        <v>6</v>
      </c>
    </row>
    <row r="15" spans="1:30" x14ac:dyDescent="0.3">
      <c r="A15">
        <v>127955</v>
      </c>
      <c r="B15" t="str">
        <f>CONCATENATE(Table4[[#This Row],[Fname]]," ",Table4[[#This Row],[Lname]])</f>
        <v>Keefe Cassidy</v>
      </c>
      <c r="C15" t="str">
        <f>CONCATENATE(Table4[[#This Row],[Sex]],"-",Table4[[#This Row],[Column3]])</f>
        <v>M-u10</v>
      </c>
      <c r="D15" t="s">
        <v>388</v>
      </c>
      <c r="E15" t="s">
        <v>389</v>
      </c>
      <c r="F15">
        <v>2017</v>
      </c>
      <c r="G15" t="str">
        <f>_xlfn.XLOOKUP(Table4[[#This Row],[YOB]],Table5[YOB],Table5[Category])</f>
        <v>u10</v>
      </c>
      <c r="H15" t="s">
        <v>22</v>
      </c>
      <c r="I15" t="s">
        <v>372</v>
      </c>
      <c r="J15" t="s">
        <v>373</v>
      </c>
      <c r="K15" t="s">
        <v>373</v>
      </c>
      <c r="L15" t="s">
        <v>374</v>
      </c>
      <c r="M15" t="s">
        <v>375</v>
      </c>
      <c r="N15" t="s">
        <v>373</v>
      </c>
      <c r="O15" t="s">
        <v>28</v>
      </c>
      <c r="P15" t="s">
        <v>29</v>
      </c>
      <c r="Q15">
        <v>0</v>
      </c>
      <c r="R15" t="s">
        <v>30</v>
      </c>
      <c r="S15">
        <v>999</v>
      </c>
      <c r="T15">
        <v>999</v>
      </c>
      <c r="U15">
        <v>999</v>
      </c>
      <c r="V15">
        <v>999</v>
      </c>
      <c r="W15">
        <v>999</v>
      </c>
    </row>
    <row r="16" spans="1:30" x14ac:dyDescent="0.3">
      <c r="A16">
        <v>125161</v>
      </c>
      <c r="B16" t="str">
        <f>CONCATENATE(Table4[[#This Row],[Fname]]," ",Table4[[#This Row],[Lname]])</f>
        <v>Hunter Goodwin</v>
      </c>
      <c r="C16" t="str">
        <f>CONCATENATE(Table4[[#This Row],[Sex]],"-",Table4[[#This Row],[Column3]])</f>
        <v>M-u10</v>
      </c>
      <c r="D16" t="s">
        <v>106</v>
      </c>
      <c r="E16" t="s">
        <v>399</v>
      </c>
      <c r="F16">
        <v>2017</v>
      </c>
      <c r="G16" t="str">
        <f>_xlfn.XLOOKUP(Table4[[#This Row],[YOB]],Table5[YOB],Table5[Category])</f>
        <v>u10</v>
      </c>
      <c r="H16" t="s">
        <v>22</v>
      </c>
      <c r="I16" t="s">
        <v>372</v>
      </c>
      <c r="J16" t="s">
        <v>373</v>
      </c>
      <c r="K16" t="s">
        <v>373</v>
      </c>
      <c r="L16" t="s">
        <v>374</v>
      </c>
      <c r="M16" t="s">
        <v>375</v>
      </c>
      <c r="N16" t="s">
        <v>373</v>
      </c>
      <c r="O16" t="s">
        <v>28</v>
      </c>
      <c r="P16" t="s">
        <v>29</v>
      </c>
      <c r="Q16">
        <v>0</v>
      </c>
      <c r="R16" t="s">
        <v>30</v>
      </c>
      <c r="S16">
        <v>999</v>
      </c>
      <c r="T16">
        <v>999</v>
      </c>
      <c r="U16">
        <v>999</v>
      </c>
      <c r="V16">
        <v>999</v>
      </c>
      <c r="W16">
        <v>999</v>
      </c>
    </row>
    <row r="17" spans="1:23" x14ac:dyDescent="0.3">
      <c r="A17">
        <v>127966</v>
      </c>
      <c r="B17" t="str">
        <f>CONCATENATE(Table4[[#This Row],[Fname]]," ",Table4[[#This Row],[Lname]])</f>
        <v>Harvey Hou</v>
      </c>
      <c r="C17" t="str">
        <f>CONCATENATE(Table4[[#This Row],[Sex]],"-",Table4[[#This Row],[Column3]])</f>
        <v>M-u10</v>
      </c>
      <c r="D17" t="s">
        <v>405</v>
      </c>
      <c r="E17" t="s">
        <v>406</v>
      </c>
      <c r="F17">
        <v>2017</v>
      </c>
      <c r="G17" t="str">
        <f>_xlfn.XLOOKUP(Table4[[#This Row],[YOB]],Table5[YOB],Table5[Category])</f>
        <v>u10</v>
      </c>
      <c r="H17" t="s">
        <v>22</v>
      </c>
      <c r="I17" t="s">
        <v>372</v>
      </c>
      <c r="J17" t="s">
        <v>373</v>
      </c>
      <c r="K17" t="s">
        <v>373</v>
      </c>
      <c r="L17" t="s">
        <v>374</v>
      </c>
      <c r="M17" t="s">
        <v>375</v>
      </c>
      <c r="N17" t="s">
        <v>373</v>
      </c>
      <c r="O17" t="s">
        <v>28</v>
      </c>
      <c r="P17" t="s">
        <v>29</v>
      </c>
      <c r="Q17">
        <v>0</v>
      </c>
      <c r="R17" t="s">
        <v>30</v>
      </c>
      <c r="S17">
        <v>999</v>
      </c>
      <c r="T17">
        <v>999</v>
      </c>
      <c r="U17">
        <v>999</v>
      </c>
      <c r="V17">
        <v>999</v>
      </c>
      <c r="W17">
        <v>999</v>
      </c>
    </row>
    <row r="18" spans="1:23" x14ac:dyDescent="0.3">
      <c r="A18">
        <v>127954</v>
      </c>
      <c r="B18" t="str">
        <f>CONCATENATE(Table4[[#This Row],[Fname]]," ",Table4[[#This Row],[Lname]])</f>
        <v>Joshua MacMillan</v>
      </c>
      <c r="C18" t="str">
        <f>CONCATENATE(Table4[[#This Row],[Sex]],"-",Table4[[#This Row],[Column3]])</f>
        <v>M-u10</v>
      </c>
      <c r="D18" t="s">
        <v>418</v>
      </c>
      <c r="E18" t="s">
        <v>419</v>
      </c>
      <c r="F18">
        <v>2017</v>
      </c>
      <c r="G18" t="str">
        <f>_xlfn.XLOOKUP(Table4[[#This Row],[YOB]],Table5[YOB],Table5[Category])</f>
        <v>u10</v>
      </c>
      <c r="H18" t="s">
        <v>22</v>
      </c>
      <c r="I18" t="s">
        <v>372</v>
      </c>
      <c r="J18" t="s">
        <v>373</v>
      </c>
      <c r="K18" t="s">
        <v>373</v>
      </c>
      <c r="L18" t="s">
        <v>374</v>
      </c>
      <c r="M18" t="s">
        <v>375</v>
      </c>
      <c r="N18" t="s">
        <v>373</v>
      </c>
      <c r="O18" t="s">
        <v>28</v>
      </c>
      <c r="P18" t="s">
        <v>29</v>
      </c>
      <c r="Q18">
        <v>0</v>
      </c>
      <c r="R18" t="s">
        <v>30</v>
      </c>
      <c r="S18">
        <v>999</v>
      </c>
      <c r="T18">
        <v>999</v>
      </c>
      <c r="U18">
        <v>999</v>
      </c>
      <c r="V18">
        <v>999</v>
      </c>
      <c r="W18">
        <v>999</v>
      </c>
    </row>
    <row r="19" spans="1:23" x14ac:dyDescent="0.3">
      <c r="A19">
        <v>127959</v>
      </c>
      <c r="B19" t="str">
        <f>CONCATENATE(Table4[[#This Row],[Fname]]," ",Table4[[#This Row],[Lname]])</f>
        <v>Alice Biswas</v>
      </c>
      <c r="C19" t="str">
        <f>CONCATENATE(Table4[[#This Row],[Sex]],"-",Table4[[#This Row],[Column3]])</f>
        <v>F-u12</v>
      </c>
      <c r="D19" t="s">
        <v>231</v>
      </c>
      <c r="E19" t="s">
        <v>371</v>
      </c>
      <c r="F19">
        <v>2014</v>
      </c>
      <c r="G19" t="str">
        <f>_xlfn.XLOOKUP(Table4[[#This Row],[YOB]],Table5[YOB],Table5[Category])</f>
        <v>u12</v>
      </c>
      <c r="H19" t="s">
        <v>36</v>
      </c>
      <c r="I19" t="s">
        <v>372</v>
      </c>
      <c r="J19" t="s">
        <v>373</v>
      </c>
      <c r="K19" t="s">
        <v>373</v>
      </c>
      <c r="L19" t="s">
        <v>374</v>
      </c>
      <c r="M19" t="s">
        <v>375</v>
      </c>
      <c r="N19" t="s">
        <v>373</v>
      </c>
      <c r="O19" t="s">
        <v>37</v>
      </c>
      <c r="P19" t="s">
        <v>38</v>
      </c>
      <c r="Q19">
        <v>1</v>
      </c>
      <c r="R19" t="s">
        <v>376</v>
      </c>
      <c r="S19">
        <v>999</v>
      </c>
      <c r="T19">
        <v>999</v>
      </c>
      <c r="U19">
        <v>999</v>
      </c>
      <c r="V19">
        <v>999</v>
      </c>
      <c r="W19">
        <v>999</v>
      </c>
    </row>
    <row r="20" spans="1:23" x14ac:dyDescent="0.3">
      <c r="A20">
        <v>122059</v>
      </c>
      <c r="B20" t="str">
        <f>CONCATENATE(Table4[[#This Row],[Fname]]," ",Table4[[#This Row],[Lname]])</f>
        <v>Cecily Gallant</v>
      </c>
      <c r="C20" t="str">
        <f>CONCATENATE(Table4[[#This Row],[Sex]],"-",Table4[[#This Row],[Column3]])</f>
        <v>F-u12</v>
      </c>
      <c r="D20" t="s">
        <v>396</v>
      </c>
      <c r="E20" t="s">
        <v>91</v>
      </c>
      <c r="F20">
        <v>2014</v>
      </c>
      <c r="G20" t="str">
        <f>_xlfn.XLOOKUP(Table4[[#This Row],[YOB]],Table5[YOB],Table5[Category])</f>
        <v>u12</v>
      </c>
      <c r="H20" t="s">
        <v>36</v>
      </c>
      <c r="I20" t="s">
        <v>372</v>
      </c>
      <c r="J20" t="s">
        <v>373</v>
      </c>
      <c r="K20" t="s">
        <v>373</v>
      </c>
      <c r="L20" t="s">
        <v>374</v>
      </c>
      <c r="M20" t="s">
        <v>375</v>
      </c>
      <c r="N20" t="s">
        <v>373</v>
      </c>
      <c r="O20" t="s">
        <v>37</v>
      </c>
      <c r="P20" t="s">
        <v>38</v>
      </c>
      <c r="Q20">
        <v>1</v>
      </c>
      <c r="R20" t="s">
        <v>376</v>
      </c>
      <c r="S20">
        <v>999</v>
      </c>
      <c r="T20">
        <v>999</v>
      </c>
      <c r="U20">
        <v>999</v>
      </c>
      <c r="V20">
        <v>999</v>
      </c>
      <c r="W20">
        <v>999</v>
      </c>
    </row>
    <row r="21" spans="1:23" x14ac:dyDescent="0.3">
      <c r="A21">
        <v>127958</v>
      </c>
      <c r="B21" t="str">
        <f>CONCATENATE(Table4[[#This Row],[Fname]]," ",Table4[[#This Row],[Lname]])</f>
        <v>Freya He</v>
      </c>
      <c r="C21" t="str">
        <f>CONCATENATE(Table4[[#This Row],[Sex]],"-",Table4[[#This Row],[Column3]])</f>
        <v>F-u12</v>
      </c>
      <c r="D21" t="s">
        <v>402</v>
      </c>
      <c r="E21" t="s">
        <v>401</v>
      </c>
      <c r="F21">
        <v>2014</v>
      </c>
      <c r="G21" t="str">
        <f>_xlfn.XLOOKUP(Table4[[#This Row],[YOB]],Table5[YOB],Table5[Category])</f>
        <v>u12</v>
      </c>
      <c r="H21" t="s">
        <v>36</v>
      </c>
      <c r="I21" t="s">
        <v>372</v>
      </c>
      <c r="J21" t="s">
        <v>373</v>
      </c>
      <c r="K21" t="s">
        <v>373</v>
      </c>
      <c r="L21" t="s">
        <v>374</v>
      </c>
      <c r="M21" t="s">
        <v>375</v>
      </c>
      <c r="N21" t="s">
        <v>373</v>
      </c>
      <c r="O21" t="s">
        <v>37</v>
      </c>
      <c r="P21" t="s">
        <v>38</v>
      </c>
      <c r="Q21">
        <v>1</v>
      </c>
      <c r="R21" t="s">
        <v>376</v>
      </c>
      <c r="S21">
        <v>999</v>
      </c>
      <c r="T21">
        <v>999</v>
      </c>
      <c r="U21">
        <v>999</v>
      </c>
      <c r="V21">
        <v>999</v>
      </c>
      <c r="W21">
        <v>999</v>
      </c>
    </row>
    <row r="22" spans="1:23" x14ac:dyDescent="0.3">
      <c r="A22">
        <v>112392</v>
      </c>
      <c r="B22" t="str">
        <f>CONCATENATE(Table4[[#This Row],[Fname]]," ",Table4[[#This Row],[Lname]])</f>
        <v>Carys MacEachern</v>
      </c>
      <c r="C22" t="str">
        <f>CONCATENATE(Table4[[#This Row],[Sex]],"-",Table4[[#This Row],[Column3]])</f>
        <v>F-u12</v>
      </c>
      <c r="D22" t="s">
        <v>416</v>
      </c>
      <c r="E22" t="s">
        <v>417</v>
      </c>
      <c r="F22">
        <v>2014</v>
      </c>
      <c r="G22" t="str">
        <f>_xlfn.XLOOKUP(Table4[[#This Row],[YOB]],Table5[YOB],Table5[Category])</f>
        <v>u12</v>
      </c>
      <c r="H22" t="s">
        <v>36</v>
      </c>
      <c r="I22" t="s">
        <v>372</v>
      </c>
      <c r="J22" t="s">
        <v>373</v>
      </c>
      <c r="K22" t="s">
        <v>373</v>
      </c>
      <c r="L22" t="s">
        <v>374</v>
      </c>
      <c r="M22" t="s">
        <v>375</v>
      </c>
      <c r="N22" t="s">
        <v>373</v>
      </c>
      <c r="O22" t="s">
        <v>37</v>
      </c>
      <c r="P22" t="s">
        <v>38</v>
      </c>
      <c r="Q22">
        <v>1</v>
      </c>
      <c r="R22" t="s">
        <v>376</v>
      </c>
      <c r="S22">
        <v>999</v>
      </c>
      <c r="T22">
        <v>999</v>
      </c>
      <c r="U22">
        <v>999</v>
      </c>
      <c r="V22">
        <v>999</v>
      </c>
      <c r="W22">
        <v>999</v>
      </c>
    </row>
    <row r="23" spans="1:23" x14ac:dyDescent="0.3">
      <c r="A23">
        <v>112386</v>
      </c>
      <c r="B23" t="str">
        <f>CONCATENATE(Table4[[#This Row],[Fname]]," ",Table4[[#This Row],[Lname]])</f>
        <v>Elinor Steele</v>
      </c>
      <c r="C23" t="str">
        <f>CONCATENATE(Table4[[#This Row],[Sex]],"-",Table4[[#This Row],[Column3]])</f>
        <v>F-u12</v>
      </c>
      <c r="D23" t="s">
        <v>436</v>
      </c>
      <c r="E23" t="s">
        <v>437</v>
      </c>
      <c r="F23">
        <v>2014</v>
      </c>
      <c r="G23" t="str">
        <f>_xlfn.XLOOKUP(Table4[[#This Row],[YOB]],Table5[YOB],Table5[Category])</f>
        <v>u12</v>
      </c>
      <c r="H23" t="s">
        <v>36</v>
      </c>
      <c r="I23" t="s">
        <v>372</v>
      </c>
      <c r="J23" t="s">
        <v>373</v>
      </c>
      <c r="K23" t="s">
        <v>373</v>
      </c>
      <c r="L23" t="s">
        <v>374</v>
      </c>
      <c r="M23" t="s">
        <v>375</v>
      </c>
      <c r="N23" t="s">
        <v>373</v>
      </c>
      <c r="O23" t="s">
        <v>37</v>
      </c>
      <c r="P23" t="s">
        <v>38</v>
      </c>
      <c r="Q23">
        <v>1</v>
      </c>
      <c r="R23" t="s">
        <v>376</v>
      </c>
      <c r="S23">
        <v>999</v>
      </c>
      <c r="T23">
        <v>999</v>
      </c>
      <c r="U23">
        <v>999</v>
      </c>
      <c r="V23">
        <v>999</v>
      </c>
      <c r="W23">
        <v>999</v>
      </c>
    </row>
    <row r="24" spans="1:23" x14ac:dyDescent="0.3">
      <c r="A24">
        <v>127960</v>
      </c>
      <c r="B24" t="str">
        <f>CONCATENATE(Table4[[#This Row],[Fname]]," ",Table4[[#This Row],[Lname]])</f>
        <v>Connor Blacquiere</v>
      </c>
      <c r="C24" t="str">
        <f>CONCATENATE(Table4[[#This Row],[Sex]],"-",Table4[[#This Row],[Column3]])</f>
        <v>M-u12</v>
      </c>
      <c r="D24" t="s">
        <v>379</v>
      </c>
      <c r="E24" t="s">
        <v>378</v>
      </c>
      <c r="F24">
        <v>2014</v>
      </c>
      <c r="G24" t="str">
        <f>_xlfn.XLOOKUP(Table4[[#This Row],[YOB]],Table5[YOB],Table5[Category])</f>
        <v>u12</v>
      </c>
      <c r="H24" t="s">
        <v>22</v>
      </c>
      <c r="I24" t="s">
        <v>372</v>
      </c>
      <c r="J24" t="s">
        <v>373</v>
      </c>
      <c r="K24" t="s">
        <v>373</v>
      </c>
      <c r="L24" t="s">
        <v>374</v>
      </c>
      <c r="M24" t="s">
        <v>375</v>
      </c>
      <c r="N24" t="s">
        <v>373</v>
      </c>
      <c r="O24" t="s">
        <v>37</v>
      </c>
      <c r="P24" t="s">
        <v>38</v>
      </c>
      <c r="Q24">
        <v>1</v>
      </c>
      <c r="R24" t="s">
        <v>376</v>
      </c>
      <c r="S24">
        <v>999</v>
      </c>
      <c r="T24">
        <v>999</v>
      </c>
      <c r="U24">
        <v>999</v>
      </c>
      <c r="V24">
        <v>999</v>
      </c>
      <c r="W24">
        <v>999</v>
      </c>
    </row>
    <row r="25" spans="1:23" x14ac:dyDescent="0.3">
      <c r="A25">
        <v>112394</v>
      </c>
      <c r="B25" t="str">
        <f>CONCATENATE(Table4[[#This Row],[Fname]]," ",Table4[[#This Row],[Lname]])</f>
        <v>Henry Jenkins</v>
      </c>
      <c r="C25" t="str">
        <f>CONCATENATE(Table4[[#This Row],[Sex]],"-",Table4[[#This Row],[Column3]])</f>
        <v>M-u12</v>
      </c>
      <c r="D25" t="s">
        <v>410</v>
      </c>
      <c r="E25" t="s">
        <v>110</v>
      </c>
      <c r="F25">
        <v>2014</v>
      </c>
      <c r="G25" t="str">
        <f>_xlfn.XLOOKUP(Table4[[#This Row],[YOB]],Table5[YOB],Table5[Category])</f>
        <v>u12</v>
      </c>
      <c r="H25" t="s">
        <v>22</v>
      </c>
      <c r="I25" t="s">
        <v>372</v>
      </c>
      <c r="J25" t="s">
        <v>373</v>
      </c>
      <c r="K25" t="s">
        <v>373</v>
      </c>
      <c r="L25" t="s">
        <v>374</v>
      </c>
      <c r="M25" t="s">
        <v>375</v>
      </c>
      <c r="N25" t="s">
        <v>373</v>
      </c>
      <c r="O25" t="s">
        <v>37</v>
      </c>
      <c r="P25" t="s">
        <v>38</v>
      </c>
      <c r="Q25">
        <v>1</v>
      </c>
      <c r="R25" t="s">
        <v>376</v>
      </c>
      <c r="S25">
        <v>999</v>
      </c>
      <c r="T25">
        <v>999</v>
      </c>
      <c r="U25">
        <v>999</v>
      </c>
      <c r="V25">
        <v>999</v>
      </c>
      <c r="W25">
        <v>999</v>
      </c>
    </row>
    <row r="26" spans="1:23" x14ac:dyDescent="0.3">
      <c r="A26">
        <v>112388</v>
      </c>
      <c r="B26" t="str">
        <f>CONCATENATE(Table4[[#This Row],[Fname]]," ",Table4[[#This Row],[Lname]])</f>
        <v>Mac Murnaghan</v>
      </c>
      <c r="C26" t="str">
        <f>CONCATENATE(Table4[[#This Row],[Sex]],"-",Table4[[#This Row],[Column3]])</f>
        <v>M-u12</v>
      </c>
      <c r="D26" t="s">
        <v>424</v>
      </c>
      <c r="E26" t="s">
        <v>425</v>
      </c>
      <c r="F26">
        <v>2014</v>
      </c>
      <c r="G26" t="str">
        <f>_xlfn.XLOOKUP(Table4[[#This Row],[YOB]],Table5[YOB],Table5[Category])</f>
        <v>u12</v>
      </c>
      <c r="H26" t="s">
        <v>22</v>
      </c>
      <c r="I26" t="s">
        <v>372</v>
      </c>
      <c r="J26" t="s">
        <v>373</v>
      </c>
      <c r="K26" t="s">
        <v>373</v>
      </c>
      <c r="L26" t="s">
        <v>374</v>
      </c>
      <c r="M26" t="s">
        <v>375</v>
      </c>
      <c r="N26" t="s">
        <v>373</v>
      </c>
      <c r="O26" t="s">
        <v>37</v>
      </c>
      <c r="P26" t="s">
        <v>38</v>
      </c>
      <c r="Q26">
        <v>1</v>
      </c>
      <c r="R26" t="s">
        <v>376</v>
      </c>
      <c r="S26">
        <v>999</v>
      </c>
      <c r="T26">
        <v>999</v>
      </c>
      <c r="U26">
        <v>999</v>
      </c>
      <c r="V26">
        <v>999</v>
      </c>
      <c r="W26">
        <v>999</v>
      </c>
    </row>
    <row r="27" spans="1:23" x14ac:dyDescent="0.3">
      <c r="A27">
        <v>112389</v>
      </c>
      <c r="B27" t="str">
        <f>CONCATENATE(Table4[[#This Row],[Fname]]," ",Table4[[#This Row],[Lname]])</f>
        <v>Kye Steele</v>
      </c>
      <c r="C27" t="str">
        <f>CONCATENATE(Table4[[#This Row],[Sex]],"-",Table4[[#This Row],[Column3]])</f>
        <v>M-u12</v>
      </c>
      <c r="D27" t="s">
        <v>438</v>
      </c>
      <c r="E27" t="s">
        <v>437</v>
      </c>
      <c r="F27">
        <v>2014</v>
      </c>
      <c r="G27" t="str">
        <f>_xlfn.XLOOKUP(Table4[[#This Row],[YOB]],Table5[YOB],Table5[Category])</f>
        <v>u12</v>
      </c>
      <c r="H27" t="s">
        <v>22</v>
      </c>
      <c r="I27" t="s">
        <v>372</v>
      </c>
      <c r="J27" t="s">
        <v>373</v>
      </c>
      <c r="K27" t="s">
        <v>373</v>
      </c>
      <c r="L27" t="s">
        <v>374</v>
      </c>
      <c r="M27" t="s">
        <v>375</v>
      </c>
      <c r="N27" t="s">
        <v>373</v>
      </c>
      <c r="O27" t="s">
        <v>37</v>
      </c>
      <c r="P27" t="s">
        <v>38</v>
      </c>
      <c r="Q27">
        <v>1</v>
      </c>
      <c r="R27" t="s">
        <v>376</v>
      </c>
      <c r="S27">
        <v>999</v>
      </c>
      <c r="T27">
        <v>999</v>
      </c>
      <c r="U27">
        <v>999</v>
      </c>
      <c r="V27">
        <v>999</v>
      </c>
      <c r="W27">
        <v>999</v>
      </c>
    </row>
    <row r="28" spans="1:23" x14ac:dyDescent="0.3">
      <c r="A28">
        <v>107242</v>
      </c>
      <c r="B28" t="str">
        <f>CONCATENATE(Table4[[#This Row],[Fname]]," ",Table4[[#This Row],[Lname]])</f>
        <v>Finn Wotherspoon</v>
      </c>
      <c r="C28" t="str">
        <f>CONCATENATE(Table4[[#This Row],[Sex]],"-",Table4[[#This Row],[Column3]])</f>
        <v>M-u12</v>
      </c>
      <c r="D28" t="s">
        <v>442</v>
      </c>
      <c r="E28" t="s">
        <v>443</v>
      </c>
      <c r="F28">
        <v>2014</v>
      </c>
      <c r="G28" t="str">
        <f>_xlfn.XLOOKUP(Table4[[#This Row],[YOB]],Table5[YOB],Table5[Category])</f>
        <v>u12</v>
      </c>
      <c r="H28" t="s">
        <v>22</v>
      </c>
      <c r="I28" t="s">
        <v>372</v>
      </c>
      <c r="J28" t="s">
        <v>373</v>
      </c>
      <c r="K28" t="s">
        <v>373</v>
      </c>
      <c r="L28" t="s">
        <v>374</v>
      </c>
      <c r="M28" t="s">
        <v>375</v>
      </c>
      <c r="N28" t="s">
        <v>373</v>
      </c>
      <c r="O28" t="s">
        <v>37</v>
      </c>
      <c r="P28" t="s">
        <v>38</v>
      </c>
      <c r="Q28">
        <v>1</v>
      </c>
      <c r="R28" t="s">
        <v>376</v>
      </c>
      <c r="S28">
        <v>999</v>
      </c>
      <c r="T28">
        <v>999</v>
      </c>
      <c r="U28">
        <v>999</v>
      </c>
      <c r="V28">
        <v>999</v>
      </c>
      <c r="W28">
        <v>999</v>
      </c>
    </row>
    <row r="29" spans="1:23" x14ac:dyDescent="0.3">
      <c r="A29">
        <v>122285</v>
      </c>
      <c r="B29" t="str">
        <f>CONCATENATE(Table4[[#This Row],[Fname]]," ",Table4[[#This Row],[Lname]])</f>
        <v>Matthew Yu</v>
      </c>
      <c r="C29" t="str">
        <f>CONCATENATE(Table4[[#This Row],[Sex]],"-",Table4[[#This Row],[Column3]])</f>
        <v>M-u12</v>
      </c>
      <c r="D29" t="s">
        <v>304</v>
      </c>
      <c r="E29" t="s">
        <v>444</v>
      </c>
      <c r="F29">
        <v>2014</v>
      </c>
      <c r="G29" t="str">
        <f>_xlfn.XLOOKUP(Table4[[#This Row],[YOB]],Table5[YOB],Table5[Category])</f>
        <v>u12</v>
      </c>
      <c r="H29" t="s">
        <v>22</v>
      </c>
      <c r="I29" t="s">
        <v>372</v>
      </c>
      <c r="J29" t="s">
        <v>373</v>
      </c>
      <c r="K29" t="s">
        <v>373</v>
      </c>
      <c r="L29" t="s">
        <v>374</v>
      </c>
      <c r="M29" t="s">
        <v>375</v>
      </c>
      <c r="N29" t="s">
        <v>373</v>
      </c>
      <c r="O29" t="s">
        <v>37</v>
      </c>
      <c r="P29" t="s">
        <v>38</v>
      </c>
      <c r="Q29">
        <v>1</v>
      </c>
      <c r="R29" t="s">
        <v>376</v>
      </c>
      <c r="S29">
        <v>999</v>
      </c>
      <c r="T29">
        <v>999</v>
      </c>
      <c r="U29">
        <v>999</v>
      </c>
      <c r="V29">
        <v>999</v>
      </c>
      <c r="W29">
        <v>999</v>
      </c>
    </row>
    <row r="30" spans="1:23" x14ac:dyDescent="0.3">
      <c r="A30">
        <v>122286</v>
      </c>
      <c r="B30" t="str">
        <f>CONCATENATE(Table4[[#This Row],[Fname]]," ",Table4[[#This Row],[Lname]])</f>
        <v>Jayden Zhou</v>
      </c>
      <c r="C30" t="str">
        <f>CONCATENATE(Table4[[#This Row],[Sex]],"-",Table4[[#This Row],[Column3]])</f>
        <v>M-u12</v>
      </c>
      <c r="D30" t="s">
        <v>448</v>
      </c>
      <c r="E30" t="s">
        <v>449</v>
      </c>
      <c r="F30">
        <v>2014</v>
      </c>
      <c r="G30" t="str">
        <f>_xlfn.XLOOKUP(Table4[[#This Row],[YOB]],Table5[YOB],Table5[Category])</f>
        <v>u12</v>
      </c>
      <c r="H30" t="s">
        <v>22</v>
      </c>
      <c r="I30" t="s">
        <v>372</v>
      </c>
      <c r="J30" t="s">
        <v>373</v>
      </c>
      <c r="K30" t="s">
        <v>373</v>
      </c>
      <c r="L30" t="s">
        <v>374</v>
      </c>
      <c r="M30" t="s">
        <v>375</v>
      </c>
      <c r="N30" t="s">
        <v>373</v>
      </c>
      <c r="O30" t="s">
        <v>37</v>
      </c>
      <c r="P30" t="s">
        <v>38</v>
      </c>
      <c r="Q30">
        <v>1</v>
      </c>
      <c r="R30" t="s">
        <v>376</v>
      </c>
      <c r="S30">
        <v>999</v>
      </c>
      <c r="T30">
        <v>999</v>
      </c>
      <c r="U30">
        <v>999</v>
      </c>
      <c r="V30">
        <v>999</v>
      </c>
      <c r="W30">
        <v>999</v>
      </c>
    </row>
    <row r="31" spans="1:23" x14ac:dyDescent="0.3">
      <c r="A31">
        <v>119094</v>
      </c>
      <c r="B31" t="str">
        <f>CONCATENATE(Table4[[#This Row],[Fname]]," ",Table4[[#This Row],[Lname]])</f>
        <v>Aulay Brown</v>
      </c>
      <c r="C31" t="str">
        <f>CONCATENATE(Table4[[#This Row],[Sex]],"-",Table4[[#This Row],[Column3]])</f>
        <v>M-u12</v>
      </c>
      <c r="D31" t="s">
        <v>382</v>
      </c>
      <c r="E31" t="s">
        <v>381</v>
      </c>
      <c r="F31">
        <v>2015</v>
      </c>
      <c r="G31" t="str">
        <f>_xlfn.XLOOKUP(Table4[[#This Row],[YOB]],Table5[YOB],Table5[Category])</f>
        <v>u12</v>
      </c>
      <c r="H31" t="s">
        <v>22</v>
      </c>
      <c r="I31" t="s">
        <v>372</v>
      </c>
      <c r="J31" t="s">
        <v>373</v>
      </c>
      <c r="K31" t="s">
        <v>373</v>
      </c>
      <c r="L31" t="s">
        <v>374</v>
      </c>
      <c r="M31" t="s">
        <v>375</v>
      </c>
      <c r="N31" t="s">
        <v>373</v>
      </c>
      <c r="O31" t="s">
        <v>37</v>
      </c>
      <c r="P31" t="s">
        <v>38</v>
      </c>
      <c r="Q31">
        <v>1</v>
      </c>
      <c r="R31" t="s">
        <v>376</v>
      </c>
      <c r="S31">
        <v>999</v>
      </c>
      <c r="T31">
        <v>999</v>
      </c>
      <c r="U31">
        <v>999</v>
      </c>
      <c r="V31">
        <v>999</v>
      </c>
      <c r="W31">
        <v>999</v>
      </c>
    </row>
    <row r="32" spans="1:23" x14ac:dyDescent="0.3">
      <c r="A32">
        <v>125164</v>
      </c>
      <c r="B32" t="str">
        <f>CONCATENATE(Table4[[#This Row],[Fname]]," ",Table4[[#This Row],[Lname]])</f>
        <v>Jameson Carroll</v>
      </c>
      <c r="C32" t="str">
        <f>CONCATENATE(Table4[[#This Row],[Sex]],"-",Table4[[#This Row],[Column3]])</f>
        <v>M-u12</v>
      </c>
      <c r="D32" t="s">
        <v>387</v>
      </c>
      <c r="E32" t="s">
        <v>386</v>
      </c>
      <c r="F32">
        <v>2015</v>
      </c>
      <c r="G32" t="str">
        <f>_xlfn.XLOOKUP(Table4[[#This Row],[YOB]],Table5[YOB],Table5[Category])</f>
        <v>u12</v>
      </c>
      <c r="H32" t="s">
        <v>22</v>
      </c>
      <c r="I32" t="s">
        <v>372</v>
      </c>
      <c r="J32" t="s">
        <v>373</v>
      </c>
      <c r="K32" t="s">
        <v>373</v>
      </c>
      <c r="L32" t="s">
        <v>374</v>
      </c>
      <c r="M32" t="s">
        <v>375</v>
      </c>
      <c r="N32" t="s">
        <v>373</v>
      </c>
      <c r="O32" t="s">
        <v>28</v>
      </c>
      <c r="P32" t="s">
        <v>29</v>
      </c>
      <c r="Q32">
        <v>0</v>
      </c>
      <c r="R32" t="s">
        <v>30</v>
      </c>
      <c r="S32">
        <v>999</v>
      </c>
      <c r="T32">
        <v>999</v>
      </c>
      <c r="U32">
        <v>999</v>
      </c>
      <c r="V32">
        <v>999</v>
      </c>
      <c r="W32">
        <v>999</v>
      </c>
    </row>
    <row r="33" spans="1:23" x14ac:dyDescent="0.3">
      <c r="A33">
        <v>122055</v>
      </c>
      <c r="B33" t="str">
        <f>CONCATENATE(Table4[[#This Row],[Fname]]," ",Table4[[#This Row],[Lname]])</f>
        <v>Ciaran Flanagan</v>
      </c>
      <c r="C33" t="str">
        <f>CONCATENATE(Table4[[#This Row],[Sex]],"-",Table4[[#This Row],[Column3]])</f>
        <v>M-u12</v>
      </c>
      <c r="D33" t="s">
        <v>392</v>
      </c>
      <c r="E33" t="s">
        <v>393</v>
      </c>
      <c r="F33">
        <v>2015</v>
      </c>
      <c r="G33" t="str">
        <f>_xlfn.XLOOKUP(Table4[[#This Row],[YOB]],Table5[YOB],Table5[Category])</f>
        <v>u12</v>
      </c>
      <c r="H33" t="s">
        <v>22</v>
      </c>
      <c r="I33" t="s">
        <v>372</v>
      </c>
      <c r="J33" t="s">
        <v>373</v>
      </c>
      <c r="K33" t="s">
        <v>373</v>
      </c>
      <c r="L33" t="s">
        <v>374</v>
      </c>
      <c r="M33" t="s">
        <v>375</v>
      </c>
      <c r="N33" t="s">
        <v>373</v>
      </c>
      <c r="O33" t="s">
        <v>37</v>
      </c>
      <c r="P33" t="s">
        <v>38</v>
      </c>
      <c r="Q33">
        <v>1</v>
      </c>
      <c r="R33" t="s">
        <v>376</v>
      </c>
      <c r="S33">
        <v>999</v>
      </c>
      <c r="T33">
        <v>999</v>
      </c>
      <c r="U33">
        <v>999</v>
      </c>
      <c r="V33">
        <v>999</v>
      </c>
      <c r="W33">
        <v>999</v>
      </c>
    </row>
    <row r="34" spans="1:23" x14ac:dyDescent="0.3">
      <c r="A34">
        <v>127957</v>
      </c>
      <c r="B34" t="str">
        <f>CONCATENATE(Table4[[#This Row],[Fname]]," ",Table4[[#This Row],[Lname]])</f>
        <v>Alex He</v>
      </c>
      <c r="C34" t="str">
        <f>CONCATENATE(Table4[[#This Row],[Sex]],"-",Table4[[#This Row],[Column3]])</f>
        <v>M-u12</v>
      </c>
      <c r="D34" t="s">
        <v>310</v>
      </c>
      <c r="E34" t="s">
        <v>401</v>
      </c>
      <c r="F34">
        <v>2015</v>
      </c>
      <c r="G34" t="str">
        <f>_xlfn.XLOOKUP(Table4[[#This Row],[YOB]],Table5[YOB],Table5[Category])</f>
        <v>u12</v>
      </c>
      <c r="H34" t="s">
        <v>22</v>
      </c>
      <c r="I34" t="s">
        <v>372</v>
      </c>
      <c r="J34" t="s">
        <v>373</v>
      </c>
      <c r="K34" t="s">
        <v>373</v>
      </c>
      <c r="L34" t="s">
        <v>374</v>
      </c>
      <c r="M34" t="s">
        <v>375</v>
      </c>
      <c r="N34" t="s">
        <v>373</v>
      </c>
      <c r="O34" t="s">
        <v>37</v>
      </c>
      <c r="P34" t="s">
        <v>38</v>
      </c>
      <c r="Q34">
        <v>1</v>
      </c>
      <c r="R34" t="s">
        <v>376</v>
      </c>
      <c r="S34">
        <v>999</v>
      </c>
      <c r="T34">
        <v>999</v>
      </c>
      <c r="U34">
        <v>999</v>
      </c>
      <c r="V34">
        <v>999</v>
      </c>
      <c r="W34">
        <v>999</v>
      </c>
    </row>
    <row r="35" spans="1:23" x14ac:dyDescent="0.3">
      <c r="A35">
        <v>127964</v>
      </c>
      <c r="B35" t="str">
        <f>CONCATENATE(Table4[[#This Row],[Fname]]," ",Table4[[#This Row],[Lname]])</f>
        <v>Allister Michael-Bondt</v>
      </c>
      <c r="C35" t="str">
        <f>CONCATENATE(Table4[[#This Row],[Sex]],"-",Table4[[#This Row],[Column3]])</f>
        <v>M-u12</v>
      </c>
      <c r="D35" t="s">
        <v>420</v>
      </c>
      <c r="E35" t="s">
        <v>421</v>
      </c>
      <c r="F35">
        <v>2015</v>
      </c>
      <c r="G35" t="str">
        <f>_xlfn.XLOOKUP(Table4[[#This Row],[YOB]],Table5[YOB],Table5[Category])</f>
        <v>u12</v>
      </c>
      <c r="H35" t="s">
        <v>22</v>
      </c>
      <c r="I35" t="s">
        <v>372</v>
      </c>
      <c r="J35" t="s">
        <v>373</v>
      </c>
      <c r="K35" t="s">
        <v>373</v>
      </c>
      <c r="L35" t="s">
        <v>374</v>
      </c>
      <c r="M35" t="s">
        <v>375</v>
      </c>
      <c r="N35" t="s">
        <v>373</v>
      </c>
      <c r="O35" t="s">
        <v>37</v>
      </c>
      <c r="P35" t="s">
        <v>38</v>
      </c>
      <c r="Q35">
        <v>1</v>
      </c>
      <c r="R35" t="s">
        <v>376</v>
      </c>
      <c r="S35">
        <v>999</v>
      </c>
      <c r="T35">
        <v>999</v>
      </c>
      <c r="U35">
        <v>999</v>
      </c>
      <c r="V35">
        <v>999</v>
      </c>
      <c r="W35">
        <v>999</v>
      </c>
    </row>
    <row r="36" spans="1:23" x14ac:dyDescent="0.3">
      <c r="A36">
        <v>127956</v>
      </c>
      <c r="B36" t="str">
        <f>CONCATENATE(Table4[[#This Row],[Fname]]," ",Table4[[#This Row],[Lname]])</f>
        <v>Ryan Rakhshan</v>
      </c>
      <c r="C36" t="str">
        <f>CONCATENATE(Table4[[#This Row],[Sex]],"-",Table4[[#This Row],[Column3]])</f>
        <v>M-u12</v>
      </c>
      <c r="D36" t="s">
        <v>185</v>
      </c>
      <c r="E36" t="s">
        <v>430</v>
      </c>
      <c r="F36">
        <v>2015</v>
      </c>
      <c r="G36" t="str">
        <f>_xlfn.XLOOKUP(Table4[[#This Row],[YOB]],Table5[YOB],Table5[Category])</f>
        <v>u12</v>
      </c>
      <c r="H36" t="s">
        <v>22</v>
      </c>
      <c r="I36" t="s">
        <v>372</v>
      </c>
      <c r="J36" t="s">
        <v>373</v>
      </c>
      <c r="K36" t="s">
        <v>373</v>
      </c>
      <c r="L36" t="s">
        <v>374</v>
      </c>
      <c r="M36" t="s">
        <v>375</v>
      </c>
      <c r="N36" t="s">
        <v>373</v>
      </c>
      <c r="O36" t="s">
        <v>28</v>
      </c>
      <c r="P36" t="s">
        <v>29</v>
      </c>
      <c r="Q36">
        <v>0</v>
      </c>
      <c r="R36" t="s">
        <v>30</v>
      </c>
      <c r="S36">
        <v>999</v>
      </c>
      <c r="T36">
        <v>999</v>
      </c>
      <c r="U36">
        <v>999</v>
      </c>
      <c r="V36">
        <v>999</v>
      </c>
      <c r="W36">
        <v>999</v>
      </c>
    </row>
    <row r="37" spans="1:23" x14ac:dyDescent="0.3">
      <c r="A37">
        <v>122060</v>
      </c>
      <c r="B37" t="str">
        <f>CONCATENATE(Table4[[#This Row],[Fname]]," ",Table4[[#This Row],[Lname]])</f>
        <v>Reid Gallant</v>
      </c>
      <c r="C37" t="str">
        <f>CONCATENATE(Table4[[#This Row],[Sex]],"-",Table4[[#This Row],[Column3]])</f>
        <v>M-u14</v>
      </c>
      <c r="D37" t="s">
        <v>170</v>
      </c>
      <c r="E37" t="s">
        <v>91</v>
      </c>
      <c r="F37">
        <v>2012</v>
      </c>
      <c r="G37" t="str">
        <f>_xlfn.XLOOKUP(Table4[[#This Row],[YOB]],Table5[YOB],Table5[Category])</f>
        <v>u14</v>
      </c>
      <c r="H37" t="s">
        <v>22</v>
      </c>
      <c r="I37" t="s">
        <v>372</v>
      </c>
      <c r="J37" t="s">
        <v>373</v>
      </c>
      <c r="K37" t="s">
        <v>373</v>
      </c>
      <c r="L37" t="s">
        <v>374</v>
      </c>
      <c r="M37" t="s">
        <v>375</v>
      </c>
      <c r="N37" t="s">
        <v>373</v>
      </c>
      <c r="O37" t="s">
        <v>37</v>
      </c>
      <c r="P37" t="s">
        <v>38</v>
      </c>
      <c r="Q37">
        <v>1</v>
      </c>
      <c r="R37" t="s">
        <v>376</v>
      </c>
      <c r="S37">
        <v>618.53</v>
      </c>
      <c r="T37">
        <v>513.34</v>
      </c>
      <c r="U37">
        <v>730.24</v>
      </c>
      <c r="V37">
        <v>999</v>
      </c>
      <c r="W37">
        <v>999</v>
      </c>
    </row>
    <row r="38" spans="1:23" x14ac:dyDescent="0.3">
      <c r="A38">
        <v>106162</v>
      </c>
      <c r="B38" t="str">
        <f>CONCATENATE(Table4[[#This Row],[Fname]]," ",Table4[[#This Row],[Lname]])</f>
        <v>Finlay Brown</v>
      </c>
      <c r="C38" t="str">
        <f>CONCATENATE(Table4[[#This Row],[Sex]],"-",Table4[[#This Row],[Column3]])</f>
        <v>M-u14</v>
      </c>
      <c r="D38" t="s">
        <v>383</v>
      </c>
      <c r="E38" t="s">
        <v>381</v>
      </c>
      <c r="F38">
        <v>2013</v>
      </c>
      <c r="G38" t="str">
        <f>_xlfn.XLOOKUP(Table4[[#This Row],[YOB]],Table5[YOB],Table5[Category])</f>
        <v>u14</v>
      </c>
      <c r="H38" t="s">
        <v>22</v>
      </c>
      <c r="I38" t="s">
        <v>372</v>
      </c>
      <c r="J38" t="s">
        <v>373</v>
      </c>
      <c r="K38" t="s">
        <v>373</v>
      </c>
      <c r="L38" t="s">
        <v>374</v>
      </c>
      <c r="M38" t="s">
        <v>375</v>
      </c>
      <c r="N38" t="s">
        <v>373</v>
      </c>
      <c r="O38" t="s">
        <v>37</v>
      </c>
      <c r="P38" t="s">
        <v>38</v>
      </c>
      <c r="Q38">
        <v>1</v>
      </c>
      <c r="R38" t="s">
        <v>376</v>
      </c>
      <c r="S38">
        <v>999</v>
      </c>
      <c r="T38">
        <v>999</v>
      </c>
      <c r="U38">
        <v>999</v>
      </c>
      <c r="V38">
        <v>999</v>
      </c>
      <c r="W38">
        <v>999</v>
      </c>
    </row>
    <row r="39" spans="1:23" x14ac:dyDescent="0.3">
      <c r="A39">
        <v>107172</v>
      </c>
      <c r="B39" t="str">
        <f>CONCATENATE(Table4[[#This Row],[Fname]]," ",Table4[[#This Row],[Lname]])</f>
        <v>Nate Fry</v>
      </c>
      <c r="C39" t="str">
        <f>CONCATENATE(Table4[[#This Row],[Sex]],"-",Table4[[#This Row],[Column3]])</f>
        <v>M-u14</v>
      </c>
      <c r="D39" t="s">
        <v>394</v>
      </c>
      <c r="E39" t="s">
        <v>395</v>
      </c>
      <c r="F39">
        <v>2013</v>
      </c>
      <c r="G39" t="str">
        <f>_xlfn.XLOOKUP(Table4[[#This Row],[YOB]],Table5[YOB],Table5[Category])</f>
        <v>u14</v>
      </c>
      <c r="H39" t="s">
        <v>22</v>
      </c>
      <c r="I39" t="s">
        <v>372</v>
      </c>
      <c r="J39" t="s">
        <v>373</v>
      </c>
      <c r="K39" t="s">
        <v>373</v>
      </c>
      <c r="L39" t="s">
        <v>374</v>
      </c>
      <c r="M39" t="s">
        <v>375</v>
      </c>
      <c r="N39" t="s">
        <v>373</v>
      </c>
      <c r="O39" t="s">
        <v>37</v>
      </c>
      <c r="P39" t="s">
        <v>38</v>
      </c>
      <c r="Q39">
        <v>1</v>
      </c>
      <c r="R39" t="s">
        <v>376</v>
      </c>
      <c r="S39">
        <v>999</v>
      </c>
      <c r="T39">
        <v>999</v>
      </c>
      <c r="U39">
        <v>999</v>
      </c>
      <c r="V39">
        <v>999</v>
      </c>
      <c r="W39">
        <v>999</v>
      </c>
    </row>
    <row r="40" spans="1:23" x14ac:dyDescent="0.3">
      <c r="A40">
        <v>127963</v>
      </c>
      <c r="B40" t="str">
        <f>CONCATENATE(Table4[[#This Row],[Fname]]," ",Table4[[#This Row],[Lname]])</f>
        <v>Alexander Saez</v>
      </c>
      <c r="C40" t="str">
        <f>CONCATENATE(Table4[[#This Row],[Sex]],"-",Table4[[#This Row],[Column3]])</f>
        <v>M-u14</v>
      </c>
      <c r="D40" t="s">
        <v>323</v>
      </c>
      <c r="E40" t="s">
        <v>431</v>
      </c>
      <c r="F40">
        <v>2013</v>
      </c>
      <c r="G40" t="str">
        <f>_xlfn.XLOOKUP(Table4[[#This Row],[YOB]],Table5[YOB],Table5[Category])</f>
        <v>u14</v>
      </c>
      <c r="H40" t="s">
        <v>22</v>
      </c>
      <c r="I40" t="s">
        <v>372</v>
      </c>
      <c r="J40" t="s">
        <v>373</v>
      </c>
      <c r="K40" t="s">
        <v>373</v>
      </c>
      <c r="L40" t="s">
        <v>374</v>
      </c>
      <c r="M40" t="s">
        <v>375</v>
      </c>
      <c r="N40" t="s">
        <v>373</v>
      </c>
      <c r="O40" t="s">
        <v>37</v>
      </c>
      <c r="P40" t="s">
        <v>38</v>
      </c>
      <c r="Q40">
        <v>1</v>
      </c>
      <c r="R40" t="s">
        <v>376</v>
      </c>
      <c r="S40">
        <v>999</v>
      </c>
      <c r="T40">
        <v>999</v>
      </c>
      <c r="U40">
        <v>999</v>
      </c>
      <c r="V40">
        <v>999</v>
      </c>
      <c r="W40">
        <v>999</v>
      </c>
    </row>
    <row r="41" spans="1:23" x14ac:dyDescent="0.3">
      <c r="A41">
        <v>102764</v>
      </c>
      <c r="B41" t="str">
        <f>CONCATENATE(Table4[[#This Row],[Fname]]," ",Table4[[#This Row],[Lname]])</f>
        <v>Lily Sauer</v>
      </c>
      <c r="C41" t="str">
        <f>CONCATENATE(Table4[[#This Row],[Sex]],"-",Table4[[#This Row],[Column3]])</f>
        <v>F-u16</v>
      </c>
      <c r="D41" t="s">
        <v>432</v>
      </c>
      <c r="E41" t="s">
        <v>433</v>
      </c>
      <c r="F41">
        <v>2010</v>
      </c>
      <c r="G41" t="str">
        <f>_xlfn.XLOOKUP(Table4[[#This Row],[YOB]],Table5[YOB],Table5[Category])</f>
        <v>u16</v>
      </c>
      <c r="H41" t="s">
        <v>36</v>
      </c>
      <c r="I41" t="s">
        <v>372</v>
      </c>
      <c r="J41" t="s">
        <v>373</v>
      </c>
      <c r="K41" t="s">
        <v>373</v>
      </c>
      <c r="L41" t="s">
        <v>374</v>
      </c>
      <c r="M41" t="s">
        <v>375</v>
      </c>
      <c r="N41" t="s">
        <v>373</v>
      </c>
      <c r="O41" t="s">
        <v>37</v>
      </c>
      <c r="P41" t="s">
        <v>38</v>
      </c>
      <c r="Q41">
        <v>1</v>
      </c>
      <c r="R41" t="s">
        <v>376</v>
      </c>
      <c r="S41">
        <v>689.69</v>
      </c>
      <c r="T41">
        <v>515.5</v>
      </c>
      <c r="U41">
        <v>662.87</v>
      </c>
      <c r="V41">
        <v>999</v>
      </c>
      <c r="W41">
        <v>999</v>
      </c>
    </row>
    <row r="42" spans="1:23" x14ac:dyDescent="0.3">
      <c r="A42">
        <v>94824</v>
      </c>
      <c r="B42" t="str">
        <f>CONCATENATE(Table4[[#This Row],[Fname]]," ",Table4[[#This Row],[Lname]])</f>
        <v>Eliza Horrelt</v>
      </c>
      <c r="C42" t="str">
        <f>CONCATENATE(Table4[[#This Row],[Sex]],"-",Table4[[#This Row],[Column3]])</f>
        <v>F-u16</v>
      </c>
      <c r="D42" t="s">
        <v>403</v>
      </c>
      <c r="E42" t="s">
        <v>404</v>
      </c>
      <c r="F42">
        <v>2011</v>
      </c>
      <c r="G42" t="str">
        <f>_xlfn.XLOOKUP(Table4[[#This Row],[YOB]],Table5[YOB],Table5[Category])</f>
        <v>u16</v>
      </c>
      <c r="H42" t="s">
        <v>36</v>
      </c>
      <c r="I42" t="s">
        <v>372</v>
      </c>
      <c r="J42" t="s">
        <v>373</v>
      </c>
      <c r="K42" t="s">
        <v>373</v>
      </c>
      <c r="L42" t="s">
        <v>374</v>
      </c>
      <c r="M42" t="s">
        <v>375</v>
      </c>
      <c r="N42" t="s">
        <v>373</v>
      </c>
      <c r="O42" t="s">
        <v>37</v>
      </c>
      <c r="P42" t="s">
        <v>38</v>
      </c>
      <c r="Q42">
        <v>1</v>
      </c>
      <c r="R42" t="s">
        <v>376</v>
      </c>
      <c r="S42">
        <v>483.21</v>
      </c>
      <c r="T42">
        <v>551.02</v>
      </c>
      <c r="U42">
        <v>630.62</v>
      </c>
      <c r="V42">
        <v>999</v>
      </c>
      <c r="W42">
        <v>999</v>
      </c>
    </row>
    <row r="43" spans="1:23" x14ac:dyDescent="0.3">
      <c r="A43">
        <v>94829</v>
      </c>
      <c r="B43" t="str">
        <f>CONCATENATE(Table4[[#This Row],[Fname]]," ",Table4[[#This Row],[Lname]])</f>
        <v>Lydia Steele</v>
      </c>
      <c r="C43" t="str">
        <f>CONCATENATE(Table4[[#This Row],[Sex]],"-",Table4[[#This Row],[Column3]])</f>
        <v>F-u16</v>
      </c>
      <c r="D43" t="s">
        <v>85</v>
      </c>
      <c r="E43" t="s">
        <v>437</v>
      </c>
      <c r="F43">
        <v>2011</v>
      </c>
      <c r="G43" t="str">
        <f>_xlfn.XLOOKUP(Table4[[#This Row],[YOB]],Table5[YOB],Table5[Category])</f>
        <v>u16</v>
      </c>
      <c r="H43" t="s">
        <v>36</v>
      </c>
      <c r="I43" t="s">
        <v>372</v>
      </c>
      <c r="J43" t="s">
        <v>373</v>
      </c>
      <c r="K43" t="s">
        <v>373</v>
      </c>
      <c r="L43" t="s">
        <v>374</v>
      </c>
      <c r="M43" t="s">
        <v>375</v>
      </c>
      <c r="N43" t="s">
        <v>373</v>
      </c>
      <c r="O43" t="s">
        <v>37</v>
      </c>
      <c r="P43" t="s">
        <v>38</v>
      </c>
      <c r="Q43">
        <v>1</v>
      </c>
      <c r="R43" t="s">
        <v>376</v>
      </c>
      <c r="S43">
        <v>610.30999999999995</v>
      </c>
      <c r="T43">
        <v>595.49</v>
      </c>
      <c r="U43">
        <v>999</v>
      </c>
      <c r="V43">
        <v>999</v>
      </c>
      <c r="W43">
        <v>999</v>
      </c>
    </row>
    <row r="44" spans="1:23" x14ac:dyDescent="0.3">
      <c r="A44">
        <v>112387</v>
      </c>
      <c r="B44" t="str">
        <f>CONCATENATE(Table4[[#This Row],[Fname]]," ",Table4[[#This Row],[Lname]])</f>
        <v>William Jenkins</v>
      </c>
      <c r="C44" t="str">
        <f>CONCATENATE(Table4[[#This Row],[Sex]],"-",Table4[[#This Row],[Column3]])</f>
        <v>M-u16</v>
      </c>
      <c r="D44" t="s">
        <v>411</v>
      </c>
      <c r="E44" t="s">
        <v>110</v>
      </c>
      <c r="F44">
        <v>2011</v>
      </c>
      <c r="G44" t="str">
        <f>_xlfn.XLOOKUP(Table4[[#This Row],[YOB]],Table5[YOB],Table5[Category])</f>
        <v>u16</v>
      </c>
      <c r="H44" t="s">
        <v>22</v>
      </c>
      <c r="I44" t="s">
        <v>372</v>
      </c>
      <c r="J44" t="s">
        <v>373</v>
      </c>
      <c r="K44" t="s">
        <v>373</v>
      </c>
      <c r="L44" t="s">
        <v>374</v>
      </c>
      <c r="M44" t="s">
        <v>375</v>
      </c>
      <c r="N44" t="s">
        <v>373</v>
      </c>
      <c r="O44" t="s">
        <v>37</v>
      </c>
      <c r="P44" t="s">
        <v>38</v>
      </c>
      <c r="Q44">
        <v>1</v>
      </c>
      <c r="R44" t="s">
        <v>376</v>
      </c>
      <c r="S44">
        <v>531.67999999999995</v>
      </c>
      <c r="T44">
        <v>527.32000000000005</v>
      </c>
      <c r="U44">
        <v>674.07</v>
      </c>
      <c r="V44">
        <v>999</v>
      </c>
      <c r="W44">
        <v>999</v>
      </c>
    </row>
    <row r="45" spans="1:23" x14ac:dyDescent="0.3">
      <c r="A45">
        <v>94814</v>
      </c>
      <c r="B45" t="str">
        <f>CONCATENATE(Table4[[#This Row],[Fname]]," ",Table4[[#This Row],[Lname]])</f>
        <v>Reid Wotherspoon</v>
      </c>
      <c r="C45" t="str">
        <f>CONCATENATE(Table4[[#This Row],[Sex]],"-",Table4[[#This Row],[Column3]])</f>
        <v>M-u16</v>
      </c>
      <c r="D45" t="s">
        <v>170</v>
      </c>
      <c r="E45" t="s">
        <v>443</v>
      </c>
      <c r="F45">
        <v>2011</v>
      </c>
      <c r="G45" t="str">
        <f>_xlfn.XLOOKUP(Table4[[#This Row],[YOB]],Table5[YOB],Table5[Category])</f>
        <v>u16</v>
      </c>
      <c r="H45" t="s">
        <v>22</v>
      </c>
      <c r="I45" t="s">
        <v>372</v>
      </c>
      <c r="J45" t="s">
        <v>373</v>
      </c>
      <c r="K45" t="s">
        <v>373</v>
      </c>
      <c r="L45" t="s">
        <v>374</v>
      </c>
      <c r="M45" t="s">
        <v>375</v>
      </c>
      <c r="N45" t="s">
        <v>373</v>
      </c>
      <c r="O45" t="s">
        <v>37</v>
      </c>
      <c r="P45" t="s">
        <v>38</v>
      </c>
      <c r="Q45">
        <v>1</v>
      </c>
      <c r="R45" t="s">
        <v>376</v>
      </c>
      <c r="S45">
        <v>581.32000000000005</v>
      </c>
      <c r="T45">
        <v>756.53</v>
      </c>
      <c r="U45">
        <v>708.5</v>
      </c>
      <c r="V45">
        <v>999</v>
      </c>
      <c r="W45">
        <v>999</v>
      </c>
    </row>
    <row r="46" spans="1:23" x14ac:dyDescent="0.3">
      <c r="A46">
        <v>127961</v>
      </c>
      <c r="B46" t="str">
        <f>CONCATENATE(Table4[[#This Row],[Fname]]," ",Table4[[#This Row],[Lname]])</f>
        <v>Hanna Shen</v>
      </c>
      <c r="C46" t="str">
        <f>CONCATENATE(Table4[[#This Row],[Sex]],"-",Table4[[#This Row],[Column3]])</f>
        <v>F-u19</v>
      </c>
      <c r="D46" t="s">
        <v>434</v>
      </c>
      <c r="E46" t="s">
        <v>435</v>
      </c>
      <c r="F46">
        <v>2009</v>
      </c>
      <c r="G46" t="str">
        <f>_xlfn.XLOOKUP(Table4[[#This Row],[YOB]],Table5[YOB],Table5[Category])</f>
        <v>u19</v>
      </c>
      <c r="H46" t="s">
        <v>36</v>
      </c>
      <c r="I46" t="s">
        <v>372</v>
      </c>
      <c r="J46" t="s">
        <v>373</v>
      </c>
      <c r="K46" t="s">
        <v>373</v>
      </c>
      <c r="L46" t="s">
        <v>374</v>
      </c>
      <c r="M46" t="s">
        <v>375</v>
      </c>
      <c r="N46" t="s">
        <v>373</v>
      </c>
      <c r="O46" t="s">
        <v>37</v>
      </c>
      <c r="P46" t="s">
        <v>38</v>
      </c>
      <c r="Q46">
        <v>1</v>
      </c>
      <c r="R46" t="s">
        <v>376</v>
      </c>
      <c r="S46">
        <v>999</v>
      </c>
      <c r="T46">
        <v>999</v>
      </c>
      <c r="U46">
        <v>999</v>
      </c>
      <c r="V46">
        <v>999</v>
      </c>
      <c r="W46">
        <v>999</v>
      </c>
    </row>
    <row r="47" spans="1:23" x14ac:dyDescent="0.3">
      <c r="A47">
        <v>127962</v>
      </c>
      <c r="B47" t="str">
        <f>CONCATENATE(Table4[[#This Row],[Fname]]," ",Table4[[#This Row],[Lname]])</f>
        <v>Marcus Liu</v>
      </c>
      <c r="C47" t="str">
        <f>CONCATENATE(Table4[[#This Row],[Sex]],"-",Table4[[#This Row],[Column3]])</f>
        <v>M-u19</v>
      </c>
      <c r="D47" t="s">
        <v>414</v>
      </c>
      <c r="E47" t="s">
        <v>415</v>
      </c>
      <c r="F47">
        <v>2008</v>
      </c>
      <c r="G47" t="str">
        <f>_xlfn.XLOOKUP(Table4[[#This Row],[YOB]],Table5[YOB],Table5[Category])</f>
        <v>u19</v>
      </c>
      <c r="H47" t="s">
        <v>22</v>
      </c>
      <c r="I47" t="s">
        <v>372</v>
      </c>
      <c r="J47" t="s">
        <v>373</v>
      </c>
      <c r="K47" t="s">
        <v>373</v>
      </c>
      <c r="L47" t="s">
        <v>374</v>
      </c>
      <c r="M47" t="s">
        <v>375</v>
      </c>
      <c r="N47" t="s">
        <v>373</v>
      </c>
      <c r="O47" t="s">
        <v>37</v>
      </c>
      <c r="P47" t="s">
        <v>38</v>
      </c>
      <c r="Q47">
        <v>1</v>
      </c>
      <c r="R47" t="s">
        <v>376</v>
      </c>
      <c r="S47">
        <v>999</v>
      </c>
      <c r="T47">
        <v>999</v>
      </c>
      <c r="U47">
        <v>999</v>
      </c>
      <c r="V47">
        <v>999</v>
      </c>
      <c r="W47">
        <v>999</v>
      </c>
    </row>
    <row r="48" spans="1:23" x14ac:dyDescent="0.3">
      <c r="A48">
        <v>127946</v>
      </c>
      <c r="B48" t="str">
        <f>CONCATENATE(Table4[[#This Row],[Fname]]," ",Table4[[#This Row],[Lname]])</f>
        <v>Kyla Li</v>
      </c>
      <c r="C48" t="str">
        <f>CONCATENATE(Table4[[#This Row],[Sex]],"-",Table4[[#This Row],[Column3]])</f>
        <v>F-u8</v>
      </c>
      <c r="D48" t="s">
        <v>412</v>
      </c>
      <c r="E48" t="s">
        <v>413</v>
      </c>
      <c r="F48">
        <v>2018</v>
      </c>
      <c r="G48" t="str">
        <f>_xlfn.XLOOKUP(Table4[[#This Row],[YOB]],Table5[YOB],Table5[Category])</f>
        <v>u8</v>
      </c>
      <c r="H48" t="s">
        <v>36</v>
      </c>
      <c r="I48" t="s">
        <v>372</v>
      </c>
      <c r="J48" t="s">
        <v>373</v>
      </c>
      <c r="K48" t="s">
        <v>373</v>
      </c>
      <c r="L48" t="s">
        <v>374</v>
      </c>
      <c r="M48" t="s">
        <v>375</v>
      </c>
      <c r="N48" t="s">
        <v>373</v>
      </c>
      <c r="O48" t="s">
        <v>28</v>
      </c>
      <c r="P48" t="s">
        <v>29</v>
      </c>
      <c r="Q48">
        <v>0</v>
      </c>
      <c r="R48" t="s">
        <v>30</v>
      </c>
      <c r="S48">
        <v>999</v>
      </c>
      <c r="T48">
        <v>999</v>
      </c>
      <c r="U48">
        <v>999</v>
      </c>
      <c r="V48">
        <v>999</v>
      </c>
      <c r="W48">
        <v>999</v>
      </c>
    </row>
    <row r="49" spans="1:23" x14ac:dyDescent="0.3">
      <c r="A49">
        <v>127942</v>
      </c>
      <c r="B49" t="str">
        <f>CONCATENATE(Table4[[#This Row],[Fname]]," ",Table4[[#This Row],[Lname]])</f>
        <v>Adalyn Brown</v>
      </c>
      <c r="C49" t="str">
        <f>CONCATENATE(Table4[[#This Row],[Sex]],"-",Table4[[#This Row],[Column3]])</f>
        <v>F-u8</v>
      </c>
      <c r="D49" t="s">
        <v>380</v>
      </c>
      <c r="E49" t="s">
        <v>381</v>
      </c>
      <c r="F49">
        <v>2019</v>
      </c>
      <c r="G49" t="str">
        <f>_xlfn.XLOOKUP(Table4[[#This Row],[YOB]],Table5[YOB],Table5[Category])</f>
        <v>u8</v>
      </c>
      <c r="H49" t="s">
        <v>36</v>
      </c>
      <c r="I49" t="s">
        <v>372</v>
      </c>
      <c r="J49" t="s">
        <v>373</v>
      </c>
      <c r="K49" t="s">
        <v>373</v>
      </c>
      <c r="L49" t="s">
        <v>374</v>
      </c>
      <c r="M49" t="s">
        <v>375</v>
      </c>
      <c r="N49" t="s">
        <v>373</v>
      </c>
      <c r="O49" t="s">
        <v>28</v>
      </c>
      <c r="P49" t="s">
        <v>29</v>
      </c>
      <c r="Q49">
        <v>0</v>
      </c>
      <c r="R49" t="s">
        <v>30</v>
      </c>
      <c r="S49">
        <v>999</v>
      </c>
      <c r="T49">
        <v>999</v>
      </c>
      <c r="U49">
        <v>999</v>
      </c>
      <c r="V49">
        <v>999</v>
      </c>
      <c r="W49">
        <v>999</v>
      </c>
    </row>
    <row r="50" spans="1:23" x14ac:dyDescent="0.3">
      <c r="A50">
        <v>127939</v>
      </c>
      <c r="B50" t="str">
        <f>CONCATENATE(Table4[[#This Row],[Fname]]," ",Table4[[#This Row],[Lname]])</f>
        <v>Stella Gong</v>
      </c>
      <c r="C50" t="str">
        <f>CONCATENATE(Table4[[#This Row],[Sex]],"-",Table4[[#This Row],[Column3]])</f>
        <v>F-u8</v>
      </c>
      <c r="D50" t="s">
        <v>117</v>
      </c>
      <c r="E50" t="s">
        <v>398</v>
      </c>
      <c r="F50">
        <v>2019</v>
      </c>
      <c r="G50" t="str">
        <f>_xlfn.XLOOKUP(Table4[[#This Row],[YOB]],Table5[YOB],Table5[Category])</f>
        <v>u8</v>
      </c>
      <c r="H50" t="s">
        <v>36</v>
      </c>
      <c r="I50" t="s">
        <v>372</v>
      </c>
      <c r="J50" t="s">
        <v>373</v>
      </c>
      <c r="K50" t="s">
        <v>373</v>
      </c>
      <c r="L50" t="s">
        <v>374</v>
      </c>
      <c r="M50" t="s">
        <v>375</v>
      </c>
      <c r="N50" t="s">
        <v>373</v>
      </c>
      <c r="O50" t="s">
        <v>28</v>
      </c>
      <c r="P50" t="s">
        <v>29</v>
      </c>
      <c r="Q50">
        <v>0</v>
      </c>
      <c r="R50" t="s">
        <v>30</v>
      </c>
      <c r="S50">
        <v>999</v>
      </c>
      <c r="T50">
        <v>999</v>
      </c>
      <c r="U50">
        <v>999</v>
      </c>
      <c r="V50">
        <v>999</v>
      </c>
      <c r="W50">
        <v>999</v>
      </c>
    </row>
    <row r="51" spans="1:23" x14ac:dyDescent="0.3">
      <c r="A51">
        <v>127940</v>
      </c>
      <c r="B51" t="str">
        <f>CONCATENATE(Table4[[#This Row],[Fname]]," ",Table4[[#This Row],[Lname]])</f>
        <v>Kate Morrow</v>
      </c>
      <c r="C51" t="str">
        <f>CONCATENATE(Table4[[#This Row],[Sex]],"-",Table4[[#This Row],[Column3]])</f>
        <v>F-u8</v>
      </c>
      <c r="D51" t="s">
        <v>301</v>
      </c>
      <c r="E51" t="s">
        <v>423</v>
      </c>
      <c r="F51">
        <v>2019</v>
      </c>
      <c r="G51" t="str">
        <f>_xlfn.XLOOKUP(Table4[[#This Row],[YOB]],Table5[YOB],Table5[Category])</f>
        <v>u8</v>
      </c>
      <c r="H51" t="s">
        <v>36</v>
      </c>
      <c r="I51" t="s">
        <v>372</v>
      </c>
      <c r="J51" t="s">
        <v>373</v>
      </c>
      <c r="K51" t="s">
        <v>373</v>
      </c>
      <c r="L51" t="s">
        <v>374</v>
      </c>
      <c r="M51" t="s">
        <v>375</v>
      </c>
      <c r="N51" t="s">
        <v>373</v>
      </c>
      <c r="O51" t="s">
        <v>28</v>
      </c>
      <c r="P51" t="s">
        <v>29</v>
      </c>
      <c r="Q51">
        <v>0</v>
      </c>
      <c r="R51" t="s">
        <v>30</v>
      </c>
      <c r="S51">
        <v>999</v>
      </c>
      <c r="T51">
        <v>999</v>
      </c>
      <c r="U51">
        <v>999</v>
      </c>
      <c r="V51">
        <v>999</v>
      </c>
      <c r="W51">
        <v>999</v>
      </c>
    </row>
    <row r="52" spans="1:23" x14ac:dyDescent="0.3">
      <c r="A52">
        <v>127945</v>
      </c>
      <c r="B52" t="str">
        <f>CONCATENATE(Table4[[#This Row],[Fname]]," ",Table4[[#This Row],[Lname]])</f>
        <v>Coen Carroll</v>
      </c>
      <c r="C52" t="str">
        <f>CONCATENATE(Table4[[#This Row],[Sex]],"-",Table4[[#This Row],[Column3]])</f>
        <v>M-u8</v>
      </c>
      <c r="D52" t="s">
        <v>385</v>
      </c>
      <c r="E52" t="s">
        <v>386</v>
      </c>
      <c r="F52">
        <v>2018</v>
      </c>
      <c r="G52" t="str">
        <f>_xlfn.XLOOKUP(Table4[[#This Row],[YOB]],Table5[YOB],Table5[Category])</f>
        <v>u8</v>
      </c>
      <c r="H52" t="s">
        <v>22</v>
      </c>
      <c r="I52" t="s">
        <v>372</v>
      </c>
      <c r="J52" t="s">
        <v>373</v>
      </c>
      <c r="K52" t="s">
        <v>373</v>
      </c>
      <c r="L52" t="s">
        <v>374</v>
      </c>
      <c r="M52" t="s">
        <v>375</v>
      </c>
      <c r="N52" t="s">
        <v>373</v>
      </c>
      <c r="O52" t="s">
        <v>28</v>
      </c>
      <c r="P52" t="s">
        <v>29</v>
      </c>
      <c r="Q52">
        <v>0</v>
      </c>
      <c r="R52" t="s">
        <v>30</v>
      </c>
      <c r="S52">
        <v>999</v>
      </c>
      <c r="T52">
        <v>999</v>
      </c>
      <c r="U52">
        <v>999</v>
      </c>
      <c r="V52">
        <v>999</v>
      </c>
      <c r="W52">
        <v>999</v>
      </c>
    </row>
    <row r="53" spans="1:23" x14ac:dyDescent="0.3">
      <c r="A53">
        <v>127965</v>
      </c>
      <c r="B53" t="str">
        <f>CONCATENATE(Table4[[#This Row],[Fname]]," ",Table4[[#This Row],[Lname]])</f>
        <v>Euan Coady</v>
      </c>
      <c r="C53" t="str">
        <f>CONCATENATE(Table4[[#This Row],[Sex]],"-",Table4[[#This Row],[Column3]])</f>
        <v>M-u8</v>
      </c>
      <c r="D53" t="s">
        <v>390</v>
      </c>
      <c r="E53" t="s">
        <v>272</v>
      </c>
      <c r="F53">
        <v>2018</v>
      </c>
      <c r="G53" t="str">
        <f>_xlfn.XLOOKUP(Table4[[#This Row],[YOB]],Table5[YOB],Table5[Category])</f>
        <v>u8</v>
      </c>
      <c r="H53" t="s">
        <v>22</v>
      </c>
      <c r="I53" t="s">
        <v>372</v>
      </c>
      <c r="J53" t="s">
        <v>373</v>
      </c>
      <c r="K53" t="s">
        <v>373</v>
      </c>
      <c r="L53" t="s">
        <v>374</v>
      </c>
      <c r="M53" t="s">
        <v>375</v>
      </c>
      <c r="N53" t="s">
        <v>373</v>
      </c>
      <c r="O53" t="s">
        <v>28</v>
      </c>
      <c r="P53" t="s">
        <v>29</v>
      </c>
      <c r="Q53">
        <v>0</v>
      </c>
      <c r="R53" t="s">
        <v>30</v>
      </c>
      <c r="S53">
        <v>999</v>
      </c>
      <c r="T53">
        <v>999</v>
      </c>
      <c r="U53">
        <v>999</v>
      </c>
      <c r="V53">
        <v>999</v>
      </c>
      <c r="W53">
        <v>999</v>
      </c>
    </row>
    <row r="54" spans="1:23" x14ac:dyDescent="0.3">
      <c r="A54">
        <v>127944</v>
      </c>
      <c r="B54" t="str">
        <f>CONCATENATE(Table4[[#This Row],[Fname]]," ",Table4[[#This Row],[Lname]])</f>
        <v>Ethan Howard</v>
      </c>
      <c r="C54" t="str">
        <f>CONCATENATE(Table4[[#This Row],[Sex]],"-",Table4[[#This Row],[Column3]])</f>
        <v>M-u8</v>
      </c>
      <c r="D54" t="s">
        <v>82</v>
      </c>
      <c r="E54" t="s">
        <v>407</v>
      </c>
      <c r="F54">
        <v>2018</v>
      </c>
      <c r="G54" t="str">
        <f>_xlfn.XLOOKUP(Table4[[#This Row],[YOB]],Table5[YOB],Table5[Category])</f>
        <v>u8</v>
      </c>
      <c r="H54" t="s">
        <v>22</v>
      </c>
      <c r="I54" t="s">
        <v>372</v>
      </c>
      <c r="J54" t="s">
        <v>373</v>
      </c>
      <c r="K54" t="s">
        <v>373</v>
      </c>
      <c r="L54" t="s">
        <v>374</v>
      </c>
      <c r="M54" t="s">
        <v>375</v>
      </c>
      <c r="N54" t="s">
        <v>373</v>
      </c>
      <c r="O54" t="s">
        <v>28</v>
      </c>
      <c r="P54" t="s">
        <v>29</v>
      </c>
      <c r="Q54">
        <v>0</v>
      </c>
      <c r="R54" t="s">
        <v>30</v>
      </c>
      <c r="S54">
        <v>999</v>
      </c>
      <c r="T54">
        <v>999</v>
      </c>
      <c r="U54">
        <v>999</v>
      </c>
      <c r="V54">
        <v>999</v>
      </c>
      <c r="W54">
        <v>999</v>
      </c>
    </row>
    <row r="55" spans="1:23" x14ac:dyDescent="0.3">
      <c r="A55">
        <v>127943</v>
      </c>
      <c r="B55" t="str">
        <f>CONCATENATE(Table4[[#This Row],[Fname]]," ",Table4[[#This Row],[Lname]])</f>
        <v>Mateo Jay</v>
      </c>
      <c r="C55" t="str">
        <f>CONCATENATE(Table4[[#This Row],[Sex]],"-",Table4[[#This Row],[Column3]])</f>
        <v>M-u8</v>
      </c>
      <c r="D55" t="s">
        <v>408</v>
      </c>
      <c r="E55" t="s">
        <v>409</v>
      </c>
      <c r="F55">
        <v>2019</v>
      </c>
      <c r="G55" t="str">
        <f>_xlfn.XLOOKUP(Table4[[#This Row],[YOB]],Table5[YOB],Table5[Category])</f>
        <v>u8</v>
      </c>
      <c r="H55" t="s">
        <v>22</v>
      </c>
      <c r="I55" t="s">
        <v>372</v>
      </c>
      <c r="J55" t="s">
        <v>373</v>
      </c>
      <c r="K55" t="s">
        <v>373</v>
      </c>
      <c r="L55" t="s">
        <v>374</v>
      </c>
      <c r="M55" t="s">
        <v>375</v>
      </c>
      <c r="N55" t="s">
        <v>373</v>
      </c>
      <c r="O55" t="s">
        <v>28</v>
      </c>
      <c r="P55" t="s">
        <v>29</v>
      </c>
      <c r="Q55">
        <v>0</v>
      </c>
      <c r="R55" t="s">
        <v>30</v>
      </c>
      <c r="S55">
        <v>999</v>
      </c>
      <c r="T55">
        <v>999</v>
      </c>
      <c r="U55">
        <v>999</v>
      </c>
      <c r="V55">
        <v>999</v>
      </c>
      <c r="W55">
        <v>999</v>
      </c>
    </row>
    <row r="56" spans="1:23" x14ac:dyDescent="0.3">
      <c r="A56">
        <v>127941</v>
      </c>
      <c r="B56" t="str">
        <f>CONCATENATE(Table4[[#This Row],[Fname]]," ",Table4[[#This Row],[Lname]])</f>
        <v>Lincoln Williams</v>
      </c>
      <c r="C56" t="str">
        <f>CONCATENATE(Table4[[#This Row],[Sex]],"-",Table4[[#This Row],[Column3]])</f>
        <v>M-u8</v>
      </c>
      <c r="D56" t="s">
        <v>441</v>
      </c>
      <c r="E56" t="s">
        <v>217</v>
      </c>
      <c r="F56">
        <v>2019</v>
      </c>
      <c r="G56" t="str">
        <f>_xlfn.XLOOKUP(Table4[[#This Row],[YOB]],Table5[YOB],Table5[Category])</f>
        <v>u8</v>
      </c>
      <c r="H56" t="s">
        <v>22</v>
      </c>
      <c r="I56" t="s">
        <v>372</v>
      </c>
      <c r="J56" t="s">
        <v>373</v>
      </c>
      <c r="K56" t="s">
        <v>373</v>
      </c>
      <c r="L56" t="s">
        <v>374</v>
      </c>
      <c r="M56" t="s">
        <v>375</v>
      </c>
      <c r="N56" t="s">
        <v>373</v>
      </c>
      <c r="O56" t="s">
        <v>28</v>
      </c>
      <c r="P56" t="s">
        <v>29</v>
      </c>
      <c r="Q56">
        <v>0</v>
      </c>
      <c r="R56" t="s">
        <v>30</v>
      </c>
      <c r="S56">
        <v>999</v>
      </c>
      <c r="T56">
        <v>999</v>
      </c>
      <c r="U56">
        <v>999</v>
      </c>
      <c r="V56">
        <v>999</v>
      </c>
      <c r="W56">
        <v>999</v>
      </c>
    </row>
  </sheetData>
  <phoneticPr fontId="1" type="noConversion"/>
  <pageMargins left="0.7" right="0.7" top="0.75" bottom="0.75" header="0.3" footer="0.3"/>
  <tableParts count="2">
    <tablePart r:id="rId1"/>
    <tablePart r:id="rId2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983A63-A756-42F0-84F8-2A98A9D7B58C}">
  <dimension ref="A1:AQ52"/>
  <sheetViews>
    <sheetView workbookViewId="0">
      <selection activeCell="E10" sqref="E10"/>
    </sheetView>
  </sheetViews>
  <sheetFormatPr defaultRowHeight="14.4" x14ac:dyDescent="0.3"/>
  <cols>
    <col min="1" max="1" width="13.5546875" customWidth="1"/>
    <col min="3" max="3" width="12.109375" customWidth="1"/>
    <col min="5" max="5" width="14.88671875" bestFit="1" customWidth="1"/>
    <col min="6" max="6" width="12.5546875" customWidth="1"/>
    <col min="7" max="7" width="15.21875" customWidth="1"/>
    <col min="8" max="8" width="17.6640625" customWidth="1"/>
    <col min="9" max="9" width="16.44140625" customWidth="1"/>
    <col min="10" max="10" width="12.21875" customWidth="1"/>
    <col min="11" max="11" width="13.109375" customWidth="1"/>
    <col min="12" max="12" width="11.6640625" customWidth="1"/>
    <col min="13" max="13" width="12.109375" customWidth="1"/>
    <col min="14" max="14" width="11.33203125" customWidth="1"/>
    <col min="15" max="15" width="12.109375" customWidth="1"/>
    <col min="16" max="16" width="10.33203125" customWidth="1"/>
    <col min="17" max="17" width="13.88671875" customWidth="1"/>
    <col min="19" max="19" width="14.5546875" customWidth="1"/>
    <col min="20" max="20" width="15.5546875" customWidth="1"/>
    <col min="21" max="21" width="18.5546875" customWidth="1"/>
  </cols>
  <sheetData>
    <row r="1" spans="1:43" ht="21" x14ac:dyDescent="0.4">
      <c r="A1" s="8" t="s">
        <v>597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W1" s="8" t="s">
        <v>598</v>
      </c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</row>
    <row r="2" spans="1:43" x14ac:dyDescent="0.3">
      <c r="A2" t="s">
        <v>459</v>
      </c>
      <c r="B2" t="s">
        <v>460</v>
      </c>
      <c r="C2" t="s">
        <v>461</v>
      </c>
      <c r="D2" t="s">
        <v>462</v>
      </c>
      <c r="E2" t="s">
        <v>463</v>
      </c>
      <c r="F2" t="s">
        <v>464</v>
      </c>
      <c r="G2" t="s">
        <v>465</v>
      </c>
      <c r="H2" t="s">
        <v>466</v>
      </c>
      <c r="I2" t="s">
        <v>467</v>
      </c>
      <c r="J2" t="s">
        <v>468</v>
      </c>
      <c r="K2" t="s">
        <v>469</v>
      </c>
      <c r="L2" t="s">
        <v>470</v>
      </c>
      <c r="M2" t="s">
        <v>471</v>
      </c>
      <c r="N2" t="s">
        <v>472</v>
      </c>
      <c r="O2" t="s">
        <v>473</v>
      </c>
      <c r="P2" t="s">
        <v>474</v>
      </c>
      <c r="Q2" t="s">
        <v>475</v>
      </c>
      <c r="S2" t="s">
        <v>476</v>
      </c>
      <c r="T2" t="s">
        <v>477</v>
      </c>
      <c r="U2" t="s">
        <v>478</v>
      </c>
      <c r="W2" t="s">
        <v>459</v>
      </c>
      <c r="X2" t="s">
        <v>460</v>
      </c>
      <c r="Y2" t="s">
        <v>461</v>
      </c>
      <c r="Z2" t="s">
        <v>462</v>
      </c>
      <c r="AA2" t="s">
        <v>463</v>
      </c>
      <c r="AB2" t="s">
        <v>464</v>
      </c>
      <c r="AC2" t="s">
        <v>465</v>
      </c>
      <c r="AD2" t="s">
        <v>466</v>
      </c>
      <c r="AE2" t="s">
        <v>467</v>
      </c>
      <c r="AF2" t="s">
        <v>468</v>
      </c>
      <c r="AG2" t="s">
        <v>469</v>
      </c>
      <c r="AH2" t="s">
        <v>470</v>
      </c>
      <c r="AI2" t="s">
        <v>471</v>
      </c>
      <c r="AJ2" t="s">
        <v>472</v>
      </c>
      <c r="AK2" t="s">
        <v>473</v>
      </c>
      <c r="AL2" t="s">
        <v>474</v>
      </c>
      <c r="AM2" t="s">
        <v>475</v>
      </c>
      <c r="AO2" t="s">
        <v>476</v>
      </c>
      <c r="AP2" t="s">
        <v>477</v>
      </c>
      <c r="AQ2" t="s">
        <v>478</v>
      </c>
    </row>
    <row r="3" spans="1:43" x14ac:dyDescent="0.3">
      <c r="A3">
        <v>48</v>
      </c>
      <c r="B3">
        <v>83</v>
      </c>
      <c r="C3" t="s">
        <v>838</v>
      </c>
      <c r="D3" t="s">
        <v>522</v>
      </c>
      <c r="E3" t="s">
        <v>873</v>
      </c>
      <c r="F3">
        <v>2012</v>
      </c>
      <c r="G3" s="1">
        <v>9.762731481481481E-4</v>
      </c>
      <c r="H3" s="1" t="s">
        <v>518</v>
      </c>
      <c r="I3" s="1"/>
      <c r="K3">
        <v>124171</v>
      </c>
      <c r="L3" s="2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9.762731481481481E-4</v>
      </c>
      <c r="M3" s="3">
        <f>IF(Table127163137496173109[[#This Row],[run 1 times]]="",999.99,IF(Table127163137496173109[[#This Row],[run 1 times]]=$S$3,0,MAX(0,ROUND(((Table127163137496173109[[#This Row],[run 1 times]]-$S$3)/$S$3)*$T$6,2))))</f>
        <v>373.91</v>
      </c>
      <c r="N3" s="2" t="str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3" s="3">
        <f>IF(Table127163137496173109[[#This Row],[run2 times]]="",999.99,IF(Table127163137496173109[[#This Row],[run2 times]]=$T$3,0,MAX(0,ROUND(((Table127163137496173109[[#This Row],[run2 times]]-$T$3)/$T$3)*$T$6,2))))</f>
        <v>999.99</v>
      </c>
      <c r="P3" s="2" t="str">
        <f>IF(OR(Table127163137496173109[[#This Row],[run 1 times]]="",Table127163137496173109[[#This Row],[run2 times]]=""),"",Table127163137496173109[[#This Row],[run 1 times]]+Table127163137496173109[[#This Row],[run2 times]])</f>
        <v/>
      </c>
      <c r="Q3" s="3">
        <f>IF(Table127163137496173109[[#This Row],[total time]]="",999.99,IF(Table127163137496173109[[#This Row],[total time]]=$U$3,0,MAX(0,ROUND(((Table127163137496173109[[#This Row],[total time]]-$U$3)/$U$3)*$T$6,2))))</f>
        <v>999.99</v>
      </c>
      <c r="S3" s="1">
        <f>MIN(Table127163137496173109[run 1 times])</f>
        <v>7.1250000000000003E-4</v>
      </c>
      <c r="T3" s="1">
        <f>MIN(Table127163137496173109[run2 times])</f>
        <v>7.8148148148148142E-4</v>
      </c>
      <c r="U3" s="1">
        <f>MIN(Table127163137496173109[total time])</f>
        <v>1.4939814814814815E-3</v>
      </c>
      <c r="W3">
        <v>20</v>
      </c>
      <c r="X3">
        <v>142</v>
      </c>
      <c r="Y3" t="s">
        <v>24</v>
      </c>
      <c r="Z3" t="s">
        <v>547</v>
      </c>
      <c r="AA3" t="s">
        <v>751</v>
      </c>
      <c r="AB3">
        <v>2010</v>
      </c>
      <c r="AC3" s="1">
        <v>7.4548611111111105E-4</v>
      </c>
      <c r="AD3" s="1">
        <v>7.733796296296295E-4</v>
      </c>
      <c r="AE3" s="1">
        <v>1.5188657407407405E-3</v>
      </c>
      <c r="AG3">
        <v>88776</v>
      </c>
      <c r="AH3" s="2">
        <f>_xlfn.LET(_xlpm.x,Table122110193440526476112[[#This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7.4548611111111105E-4</v>
      </c>
      <c r="AI3" s="3">
        <f>IF(Table122110193440526476112[[#This Row],[run 1 times]]="",999.99,IF(Table122110193440526476112[[#This Row],[run 1 times]]=$AO$3,0,MAX(0,ROUND(((Table122110193440526476112[[#This Row],[run 1 times]]-$AO$3)/$AO$3)*$AP$6,2))))</f>
        <v>262.08</v>
      </c>
      <c r="AJ3" s="2">
        <f>_xlfn.LET(_xlpm.x,Table122110193440526476112[[#This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7.733796296296295E-4</v>
      </c>
      <c r="AK3" s="3">
        <f>IF(Table122110193440526476112[[#This Row],[run2 times]]="",999.99,IF(Table122110193440526476112[[#This Row],[run2 times]]=$AP$3,0,MAX(0,ROUND(((Table122110193440526476112[[#This Row],[run2 times]]-$AP$3)/$AP$3)*$AP$6,2))))</f>
        <v>267.94</v>
      </c>
      <c r="AL3" s="2">
        <f>IF(OR(Table122110193440526476112[[#This Row],[run 1 times]]="",Table122110193440526476112[[#This Row],[run2 times]]=""),"",Table122110193440526476112[[#This Row],[run 1 times]]+Table122110193440526476112[[#This Row],[run2 times]])</f>
        <v>1.5188657407407405E-3</v>
      </c>
      <c r="AM3" s="3">
        <f>IF(Table122110193440526476112[[#This Row],[total time]]="",999.99,IF(Table122110193440526476112[[#This Row],[total time]]=$AQ$3,0,MAX(0,ROUND(((Table122110193440526476112[[#This Row],[total time]]-$AQ$3)/$AQ$3)*$AP$6,2))))</f>
        <v>259.08</v>
      </c>
      <c r="AO3" s="1">
        <f>MIN(Table122110193440526476112[run 1 times])</f>
        <v>5.9189814814814814E-4</v>
      </c>
      <c r="AP3" s="1">
        <f>MIN(Table122110193440526476112[run2 times])</f>
        <v>6.1122685185185184E-4</v>
      </c>
      <c r="AQ3" s="1">
        <f>MIN(Table122110193440526476112[total time])</f>
        <v>1.2087962962962964E-3</v>
      </c>
    </row>
    <row r="4" spans="1:43" x14ac:dyDescent="0.3">
      <c r="A4">
        <v>40</v>
      </c>
      <c r="B4">
        <v>91</v>
      </c>
      <c r="C4" t="s">
        <v>487</v>
      </c>
      <c r="D4" t="s">
        <v>522</v>
      </c>
      <c r="E4" t="s">
        <v>705</v>
      </c>
      <c r="F4">
        <v>2012</v>
      </c>
      <c r="G4" s="1">
        <v>8.2638888888888898E-4</v>
      </c>
      <c r="H4" s="1">
        <v>8.8009259259259247E-4</v>
      </c>
      <c r="I4" s="1">
        <v>1.7064814814814813E-3</v>
      </c>
      <c r="K4">
        <v>121018</v>
      </c>
      <c r="L4" s="2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8.2638888888888898E-4</v>
      </c>
      <c r="M4" s="3">
        <f>IF(Table127163137496173109[[#This Row],[run 1 times]]="",999.99,IF(Table127163137496173109[[#This Row],[run 1 times]]=$S$3,0,MAX(0,ROUND(((Table127163137496173109[[#This Row],[run 1 times]]-$S$3)/$S$3)*$T$6,2))))</f>
        <v>161.44</v>
      </c>
      <c r="N4" s="2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8.8009259259259247E-4</v>
      </c>
      <c r="O4" s="3">
        <f>IF(Table127163137496173109[[#This Row],[run2 times]]="",999.99,IF(Table127163137496173109[[#This Row],[run2 times]]=$T$3,0,MAX(0,ROUND(((Table127163137496173109[[#This Row],[run2 times]]-$T$3)/$T$3)*$T$6,2))))</f>
        <v>127.45</v>
      </c>
      <c r="P4" s="2">
        <f>IF(OR(Table127163137496173109[[#This Row],[run 1 times]]="",Table127163137496173109[[#This Row],[run2 times]]=""),"",Table127163137496173109[[#This Row],[run 1 times]]+Table127163137496173109[[#This Row],[run2 times]])</f>
        <v>1.7064814814814816E-3</v>
      </c>
      <c r="Q4" s="3">
        <f>IF(Table127163137496173109[[#This Row],[total time]]="",999.99,IF(Table127163137496173109[[#This Row],[total time]]=$U$3,0,MAX(0,ROUND(((Table127163137496173109[[#This Row],[total time]]-$U$3)/$U$3)*$T$6,2))))</f>
        <v>143.66</v>
      </c>
      <c r="W4">
        <v>18</v>
      </c>
      <c r="X4">
        <v>144</v>
      </c>
      <c r="Y4" t="s">
        <v>487</v>
      </c>
      <c r="Z4" t="s">
        <v>547</v>
      </c>
      <c r="AA4" t="s">
        <v>836</v>
      </c>
      <c r="AB4">
        <v>2010</v>
      </c>
      <c r="AC4" s="1">
        <v>55.22</v>
      </c>
      <c r="AD4" s="1">
        <v>56.4</v>
      </c>
      <c r="AE4" s="1">
        <v>1.2918981481481481E-3</v>
      </c>
      <c r="AG4">
        <v>89850</v>
      </c>
      <c r="AH4" s="2">
        <f>_xlfn.LET(_xlpm.x,Table122110193440526476112[[#This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6.3912037037037041E-4</v>
      </c>
      <c r="AI4" s="3">
        <f>IF(Table122110193440526476112[[#This Row],[run 1 times]]="",999.99,IF(Table122110193440526476112[[#This Row],[run 1 times]]=$AO$3,0,MAX(0,ROUND(((Table122110193440526476112[[#This Row],[run 1 times]]-$AO$3)/$AO$3)*$AP$6,2))))</f>
        <v>80.58</v>
      </c>
      <c r="AJ4" s="2">
        <f>_xlfn.LET(_xlpm.x,Table122110193440526476112[[#This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6.5277777777777773E-4</v>
      </c>
      <c r="AK4" s="3">
        <f>IF(Table122110193440526476112[[#This Row],[run2 times]]="",999.99,IF(Table122110193440526476112[[#This Row],[run2 times]]=$AP$3,0,MAX(0,ROUND(((Table122110193440526476112[[#This Row],[run2 times]]-$AP$3)/$AP$3)*$AP$6,2))))</f>
        <v>68.66</v>
      </c>
      <c r="AL4" s="2">
        <f>IF(OR(Table122110193440526476112[[#This Row],[run 1 times]]="",Table122110193440526476112[[#This Row],[run2 times]]=""),"",Table122110193440526476112[[#This Row],[run 1 times]]+Table122110193440526476112[[#This Row],[run2 times]])</f>
        <v>1.2918981481481481E-3</v>
      </c>
      <c r="AM4" s="3">
        <f>IF(Table122110193440526476112[[#This Row],[total time]]="",999.99,IF(Table122110193440526476112[[#This Row],[total time]]=$AQ$3,0,MAX(0,ROUND(((Table122110193440526476112[[#This Row],[total time]]-$AQ$3)/$AQ$3)*$AP$6,2))))</f>
        <v>69.44</v>
      </c>
    </row>
    <row r="5" spans="1:43" x14ac:dyDescent="0.3">
      <c r="A5">
        <v>31</v>
      </c>
      <c r="B5">
        <v>100</v>
      </c>
      <c r="C5" t="s">
        <v>487</v>
      </c>
      <c r="D5" t="s">
        <v>522</v>
      </c>
      <c r="E5" t="s">
        <v>699</v>
      </c>
      <c r="F5">
        <v>2012</v>
      </c>
      <c r="G5" s="1" t="s">
        <v>512</v>
      </c>
      <c r="H5" s="1" t="s">
        <v>518</v>
      </c>
      <c r="I5" s="1"/>
      <c r="K5">
        <v>102437</v>
      </c>
      <c r="L5" s="2" t="str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5" s="3">
        <f>IF(Table127163137496173109[[#This Row],[run 1 times]]="",999.99,IF(Table127163137496173109[[#This Row],[run 1 times]]=$S$3,0,MAX(0,ROUND(((Table127163137496173109[[#This Row],[run 1 times]]-$S$3)/$S$3)*$T$6,2))))</f>
        <v>999.99</v>
      </c>
      <c r="N5" s="2" t="str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5" s="3">
        <f>IF(Table127163137496173109[[#This Row],[run2 times]]="",999.99,IF(Table127163137496173109[[#This Row],[run2 times]]=$T$3,0,MAX(0,ROUND(((Table127163137496173109[[#This Row],[run2 times]]-$T$3)/$T$3)*$T$6,2))))</f>
        <v>999.99</v>
      </c>
      <c r="P5" s="2" t="str">
        <f>IF(OR(Table127163137496173109[[#This Row],[run 1 times]]="",Table127163137496173109[[#This Row],[run2 times]]=""),"",Table127163137496173109[[#This Row],[run 1 times]]+Table127163137496173109[[#This Row],[run2 times]])</f>
        <v/>
      </c>
      <c r="Q5" s="3">
        <f>IF(Table127163137496173109[[#This Row],[total time]]="",999.99,IF(Table127163137496173109[[#This Row],[total time]]=$U$3,0,MAX(0,ROUND(((Table127163137496173109[[#This Row],[total time]]-$U$3)/$U$3)*$T$6,2))))</f>
        <v>999.99</v>
      </c>
      <c r="S5" t="s">
        <v>484</v>
      </c>
      <c r="T5" t="s">
        <v>485</v>
      </c>
      <c r="U5" t="s">
        <v>486</v>
      </c>
      <c r="W5">
        <v>16</v>
      </c>
      <c r="X5">
        <v>146</v>
      </c>
      <c r="Y5" t="s">
        <v>479</v>
      </c>
      <c r="Z5" t="s">
        <v>547</v>
      </c>
      <c r="AA5" t="s">
        <v>837</v>
      </c>
      <c r="AB5">
        <v>2010</v>
      </c>
      <c r="AC5" s="1">
        <v>51.14</v>
      </c>
      <c r="AD5" s="1">
        <v>53.3</v>
      </c>
      <c r="AE5" s="1">
        <v>1.2087962962962964E-3</v>
      </c>
      <c r="AG5">
        <v>89853</v>
      </c>
      <c r="AH5" s="2">
        <f>_xlfn.LET(_xlpm.x,Table122110193440526476112[[#This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5.9189814814814814E-4</v>
      </c>
      <c r="AI5" s="3">
        <f>IF(Table122110193440526476112[[#This Row],[run 1 times]]="",999.99,IF(Table122110193440526476112[[#This Row],[run 1 times]]=$AO$3,0,MAX(0,ROUND(((Table122110193440526476112[[#This Row],[run 1 times]]-$AO$3)/$AO$3)*$AP$6,2))))</f>
        <v>0</v>
      </c>
      <c r="AJ5" s="2">
        <f>_xlfn.LET(_xlpm.x,Table122110193440526476112[[#This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6.168981481481481E-4</v>
      </c>
      <c r="AK5" s="3">
        <f>IF(Table122110193440526476112[[#This Row],[run2 times]]="",999.99,IF(Table122110193440526476112[[#This Row],[run2 times]]=$AP$3,0,MAX(0,ROUND(((Table122110193440526476112[[#This Row],[run2 times]]-$AP$3)/$AP$3)*$AP$6,2))))</f>
        <v>9.3699999999999992</v>
      </c>
      <c r="AL5" s="2">
        <f>IF(OR(Table122110193440526476112[[#This Row],[run 1 times]]="",Table122110193440526476112[[#This Row],[run2 times]]=""),"",Table122110193440526476112[[#This Row],[run 1 times]]+Table122110193440526476112[[#This Row],[run2 times]])</f>
        <v>1.2087962962962964E-3</v>
      </c>
      <c r="AM5" s="3">
        <f>IF(Table122110193440526476112[[#This Row],[total time]]="",999.99,IF(Table122110193440526476112[[#This Row],[total time]]=$AQ$3,0,MAX(0,ROUND(((Table122110193440526476112[[#This Row],[total time]]-$AQ$3)/$AQ$3)*$AP$6,2))))</f>
        <v>0</v>
      </c>
      <c r="AO5" t="s">
        <v>484</v>
      </c>
      <c r="AP5" t="s">
        <v>485</v>
      </c>
      <c r="AQ5" t="s">
        <v>486</v>
      </c>
    </row>
    <row r="6" spans="1:43" x14ac:dyDescent="0.3">
      <c r="A6">
        <v>25</v>
      </c>
      <c r="B6">
        <v>55</v>
      </c>
      <c r="C6" t="s">
        <v>373</v>
      </c>
      <c r="D6" t="s">
        <v>480</v>
      </c>
      <c r="E6" t="s">
        <v>694</v>
      </c>
      <c r="F6">
        <v>2014</v>
      </c>
      <c r="G6" s="1">
        <v>1.0124999999999999E-3</v>
      </c>
      <c r="H6" s="1">
        <v>1.0966435185185185E-3</v>
      </c>
      <c r="I6" s="1">
        <v>2.1091435185185184E-3</v>
      </c>
      <c r="K6">
        <v>112394</v>
      </c>
      <c r="L6" s="2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1.0124999999999999E-3</v>
      </c>
      <c r="M6" s="3">
        <f>IF(Table127163137496173109[[#This Row],[run 1 times]]="",999.99,IF(Table127163137496173109[[#This Row],[run 1 times]]=$S$3,0,MAX(0,ROUND(((Table127163137496173109[[#This Row],[run 1 times]]-$S$3)/$S$3)*$T$6,2))))</f>
        <v>425.26</v>
      </c>
      <c r="N6" s="2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1.0966435185185185E-3</v>
      </c>
      <c r="O6" s="3">
        <f>IF(Table127163137496173109[[#This Row],[run2 times]]="",999.99,IF(Table127163137496173109[[#This Row],[run2 times]]=$T$3,0,MAX(0,ROUND(((Table127163137496173109[[#This Row],[run2 times]]-$T$3)/$T$3)*$T$6,2))))</f>
        <v>407.32</v>
      </c>
      <c r="P6" s="2">
        <f>IF(OR(Table127163137496173109[[#This Row],[run 1 times]]="",Table127163137496173109[[#This Row],[run2 times]]=""),"",Table127163137496173109[[#This Row],[run 1 times]]+Table127163137496173109[[#This Row],[run2 times]])</f>
        <v>2.1091435185185184E-3</v>
      </c>
      <c r="Q6" s="3">
        <f>IF(Table127163137496173109[[#This Row],[total time]]="",999.99,IF(Table127163137496173109[[#This Row],[total time]]=$U$3,0,MAX(0,ROUND(((Table127163137496173109[[#This Row],[total time]]-$U$3)/$U$3)*$T$6,2))))</f>
        <v>415.88</v>
      </c>
      <c r="S6">
        <v>730</v>
      </c>
      <c r="T6">
        <v>1010</v>
      </c>
      <c r="U6">
        <v>1190</v>
      </c>
      <c r="W6">
        <v>15</v>
      </c>
      <c r="X6">
        <v>147</v>
      </c>
      <c r="Y6" t="s">
        <v>838</v>
      </c>
      <c r="Z6" t="s">
        <v>547</v>
      </c>
      <c r="AA6" t="s">
        <v>839</v>
      </c>
      <c r="AB6">
        <v>2011</v>
      </c>
      <c r="AC6" s="1">
        <v>6.9733796296296297E-4</v>
      </c>
      <c r="AD6" s="1">
        <v>7.0671296296296302E-4</v>
      </c>
      <c r="AE6" s="1">
        <v>1.404050925925926E-3</v>
      </c>
      <c r="AG6">
        <v>112467</v>
      </c>
      <c r="AH6" s="2">
        <f>_xlfn.LET(_xlpm.x,Table122110193440526476112[[#This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6.9733796296296297E-4</v>
      </c>
      <c r="AI6" s="3">
        <f>IF(Table122110193440526476112[[#This Row],[run 1 times]]="",999.99,IF(Table122110193440526476112[[#This Row],[run 1 times]]=$AO$3,0,MAX(0,ROUND(((Table122110193440526476112[[#This Row],[run 1 times]]-$AO$3)/$AO$3)*$AP$6,2))))</f>
        <v>179.92</v>
      </c>
      <c r="AJ6" s="2">
        <f>_xlfn.LET(_xlpm.x,Table122110193440526476112[[#This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7.0671296296296302E-4</v>
      </c>
      <c r="AK6" s="3">
        <f>IF(Table122110193440526476112[[#This Row],[run2 times]]="",999.99,IF(Table122110193440526476112[[#This Row],[run2 times]]=$AP$3,0,MAX(0,ROUND(((Table122110193440526476112[[#This Row],[run2 times]]-$AP$3)/$AP$3)*$AP$6,2))))</f>
        <v>157.78</v>
      </c>
      <c r="AL6" s="2">
        <f>IF(OR(Table122110193440526476112[[#This Row],[run 1 times]]="",Table122110193440526476112[[#This Row],[run2 times]]=""),"",Table122110193440526476112[[#This Row],[run 1 times]]+Table122110193440526476112[[#This Row],[run2 times]])</f>
        <v>1.404050925925926E-3</v>
      </c>
      <c r="AM6" s="3">
        <f>IF(Table122110193440526476112[[#This Row],[total time]]="",999.99,IF(Table122110193440526476112[[#This Row],[total time]]=$AQ$3,0,MAX(0,ROUND(((Table122110193440526476112[[#This Row],[total time]]-$AQ$3)/$AQ$3)*$AP$6,2))))</f>
        <v>163.13999999999999</v>
      </c>
      <c r="AO6">
        <v>730</v>
      </c>
      <c r="AP6">
        <v>1010</v>
      </c>
      <c r="AQ6">
        <v>1190</v>
      </c>
    </row>
    <row r="7" spans="1:43" x14ac:dyDescent="0.3">
      <c r="A7">
        <v>24</v>
      </c>
      <c r="B7">
        <v>56</v>
      </c>
      <c r="C7" t="s">
        <v>487</v>
      </c>
      <c r="D7" t="s">
        <v>522</v>
      </c>
      <c r="E7" t="s">
        <v>714</v>
      </c>
      <c r="F7">
        <v>2013</v>
      </c>
      <c r="G7" s="1">
        <v>8.6030092592592592E-4</v>
      </c>
      <c r="H7" s="1" t="s">
        <v>512</v>
      </c>
      <c r="I7" s="1"/>
      <c r="K7">
        <v>109533</v>
      </c>
      <c r="L7" s="2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8.6030092592592592E-4</v>
      </c>
      <c r="M7" s="3">
        <f>IF(Table127163137496173109[[#This Row],[run 1 times]]="",999.99,IF(Table127163137496173109[[#This Row],[run 1 times]]=$S$3,0,MAX(0,ROUND(((Table127163137496173109[[#This Row],[run 1 times]]-$S$3)/$S$3)*$T$6,2))))</f>
        <v>209.51</v>
      </c>
      <c r="N7" s="2" t="str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7" s="3">
        <f>IF(Table127163137496173109[[#This Row],[run2 times]]="",999.99,IF(Table127163137496173109[[#This Row],[run2 times]]=$T$3,0,MAX(0,ROUND(((Table127163137496173109[[#This Row],[run2 times]]-$T$3)/$T$3)*$T$6,2))))</f>
        <v>999.99</v>
      </c>
      <c r="P7" s="2" t="str">
        <f>IF(OR(Table127163137496173109[[#This Row],[run 1 times]]="",Table127163137496173109[[#This Row],[run2 times]]=""),"",Table127163137496173109[[#This Row],[run 1 times]]+Table127163137496173109[[#This Row],[run2 times]])</f>
        <v/>
      </c>
      <c r="Q7" s="3">
        <f>IF(Table127163137496173109[[#This Row],[total time]]="",999.99,IF(Table127163137496173109[[#This Row],[total time]]=$U$3,0,MAX(0,ROUND(((Table127163137496173109[[#This Row],[total time]]-$U$3)/$U$3)*$T$6,2))))</f>
        <v>999.99</v>
      </c>
      <c r="W7">
        <v>14</v>
      </c>
      <c r="X7">
        <v>148</v>
      </c>
      <c r="Y7" t="s">
        <v>479</v>
      </c>
      <c r="Z7" t="s">
        <v>572</v>
      </c>
      <c r="AA7" t="s">
        <v>760</v>
      </c>
      <c r="AB7">
        <v>2009</v>
      </c>
      <c r="AC7" s="1">
        <v>52.47</v>
      </c>
      <c r="AD7" s="1">
        <v>54.11</v>
      </c>
      <c r="AE7" s="1">
        <v>1.2335648148148147E-3</v>
      </c>
      <c r="AG7">
        <v>94627</v>
      </c>
      <c r="AH7" s="2">
        <f>_xlfn.LET(_xlpm.x,Table122110193440526476112[[#This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6.0729166666666668E-4</v>
      </c>
      <c r="AI7" s="3">
        <f>IF(Table122110193440526476112[[#This Row],[run 1 times]]="",999.99,IF(Table122110193440526476112[[#This Row],[run 1 times]]=$AO$3,0,MAX(0,ROUND(((Table122110193440526476112[[#This Row],[run 1 times]]-$AO$3)/$AO$3)*$AP$6,2))))</f>
        <v>26.27</v>
      </c>
      <c r="AJ7" s="2">
        <f>_xlfn.LET(_xlpm.x,Table122110193440526476112[[#This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6.2627314814814815E-4</v>
      </c>
      <c r="AK7" s="3">
        <f>IF(Table122110193440526476112[[#This Row],[run2 times]]="",999.99,IF(Table122110193440526476112[[#This Row],[run2 times]]=$AP$3,0,MAX(0,ROUND(((Table122110193440526476112[[#This Row],[run2 times]]-$AP$3)/$AP$3)*$AP$6,2))))</f>
        <v>24.86</v>
      </c>
      <c r="AL7" s="2">
        <f>IF(OR(Table122110193440526476112[[#This Row],[run 1 times]]="",Table122110193440526476112[[#This Row],[run2 times]]=""),"",Table122110193440526476112[[#This Row],[run 1 times]]+Table122110193440526476112[[#This Row],[run2 times]])</f>
        <v>1.2335648148148149E-3</v>
      </c>
      <c r="AM7" s="3">
        <f>IF(Table122110193440526476112[[#This Row],[total time]]="",999.99,IF(Table122110193440526476112[[#This Row],[total time]]=$AQ$3,0,MAX(0,ROUND(((Table122110193440526476112[[#This Row],[total time]]-$AQ$3)/$AQ$3)*$AP$6,2))))</f>
        <v>20.7</v>
      </c>
    </row>
    <row r="8" spans="1:43" x14ac:dyDescent="0.3">
      <c r="A8">
        <v>23</v>
      </c>
      <c r="B8">
        <v>57</v>
      </c>
      <c r="C8" t="s">
        <v>223</v>
      </c>
      <c r="D8" t="s">
        <v>480</v>
      </c>
      <c r="E8" t="s">
        <v>676</v>
      </c>
      <c r="F8">
        <v>2014</v>
      </c>
      <c r="G8" s="1" t="s">
        <v>512</v>
      </c>
      <c r="H8" s="1">
        <v>1.0011574074074074E-3</v>
      </c>
      <c r="I8" s="1"/>
      <c r="K8">
        <v>107257</v>
      </c>
      <c r="L8" s="2" t="str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8" s="3">
        <f>IF(Table127163137496173109[[#This Row],[run 1 times]]="",999.99,IF(Table127163137496173109[[#This Row],[run 1 times]]=$S$3,0,MAX(0,ROUND(((Table127163137496173109[[#This Row],[run 1 times]]-$S$3)/$S$3)*$T$6,2))))</f>
        <v>999.99</v>
      </c>
      <c r="N8" s="2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1.0011574074074074E-3</v>
      </c>
      <c r="O8" s="3">
        <f>IF(Table127163137496173109[[#This Row],[run2 times]]="",999.99,IF(Table127163137496173109[[#This Row],[run2 times]]=$T$3,0,MAX(0,ROUND(((Table127163137496173109[[#This Row],[run2 times]]-$T$3)/$T$3)*$T$6,2))))</f>
        <v>283.91000000000003</v>
      </c>
      <c r="P8" s="2" t="str">
        <f>IF(OR(Table127163137496173109[[#This Row],[run 1 times]]="",Table127163137496173109[[#This Row],[run2 times]]=""),"",Table127163137496173109[[#This Row],[run 1 times]]+Table127163137496173109[[#This Row],[run2 times]])</f>
        <v/>
      </c>
      <c r="Q8" s="3">
        <f>IF(Table127163137496173109[[#This Row],[total time]]="",999.99,IF(Table127163137496173109[[#This Row],[total time]]=$U$3,0,MAX(0,ROUND(((Table127163137496173109[[#This Row],[total time]]-$U$3)/$U$3)*$T$6,2))))</f>
        <v>999.99</v>
      </c>
      <c r="W8">
        <v>13</v>
      </c>
      <c r="X8">
        <v>149</v>
      </c>
      <c r="Y8" t="s">
        <v>257</v>
      </c>
      <c r="Z8" t="s">
        <v>572</v>
      </c>
      <c r="AA8" t="s">
        <v>763</v>
      </c>
      <c r="AB8">
        <v>2008</v>
      </c>
      <c r="AC8" s="1">
        <v>52.44</v>
      </c>
      <c r="AD8" s="1">
        <v>54.45</v>
      </c>
      <c r="AE8" s="1">
        <v>1.2371527777777778E-3</v>
      </c>
      <c r="AG8">
        <v>87497</v>
      </c>
      <c r="AH8" s="2">
        <f>_xlfn.LET(_xlpm.x,Table122110193440526476112[[#This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6.0694444444444446E-4</v>
      </c>
      <c r="AI8" s="3">
        <f>IF(Table122110193440526476112[[#This Row],[run 1 times]]="",999.99,IF(Table122110193440526476112[[#This Row],[run 1 times]]=$AO$3,0,MAX(0,ROUND(((Table122110193440526476112[[#This Row],[run 1 times]]-$AO$3)/$AO$3)*$AP$6,2))))</f>
        <v>25.67</v>
      </c>
      <c r="AJ8" s="2">
        <f>_xlfn.LET(_xlpm.x,Table122110193440526476112[[#This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6.3020833333333331E-4</v>
      </c>
      <c r="AK8" s="3">
        <f>IF(Table122110193440526476112[[#This Row],[run2 times]]="",999.99,IF(Table122110193440526476112[[#This Row],[run2 times]]=$AP$3,0,MAX(0,ROUND(((Table122110193440526476112[[#This Row],[run2 times]]-$AP$3)/$AP$3)*$AP$6,2))))</f>
        <v>31.37</v>
      </c>
      <c r="AL8" s="2">
        <f>IF(OR(Table122110193440526476112[[#This Row],[run 1 times]]="",Table122110193440526476112[[#This Row],[run2 times]]=""),"",Table122110193440526476112[[#This Row],[run 1 times]]+Table122110193440526476112[[#This Row],[run2 times]])</f>
        <v>1.2371527777777778E-3</v>
      </c>
      <c r="AM8" s="3">
        <f>IF(Table122110193440526476112[[#This Row],[total time]]="",999.99,IF(Table122110193440526476112[[#This Row],[total time]]=$AQ$3,0,MAX(0,ROUND(((Table122110193440526476112[[#This Row],[total time]]-$AQ$3)/$AQ$3)*$AP$6,2))))</f>
        <v>23.69</v>
      </c>
    </row>
    <row r="9" spans="1:43" x14ac:dyDescent="0.3">
      <c r="A9">
        <v>21</v>
      </c>
      <c r="B9">
        <v>59</v>
      </c>
      <c r="C9" t="s">
        <v>479</v>
      </c>
      <c r="D9" t="s">
        <v>522</v>
      </c>
      <c r="E9" t="s">
        <v>677</v>
      </c>
      <c r="F9">
        <v>2012</v>
      </c>
      <c r="G9" s="1">
        <v>8.6180555555555565E-4</v>
      </c>
      <c r="H9" s="1">
        <v>9.4930555555555556E-4</v>
      </c>
      <c r="I9" s="1">
        <v>1.811111111111111E-3</v>
      </c>
      <c r="K9">
        <v>102357</v>
      </c>
      <c r="L9" s="2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8.6180555555555565E-4</v>
      </c>
      <c r="M9" s="3">
        <f>IF(Table127163137496173109[[#This Row],[run 1 times]]="",999.99,IF(Table127163137496173109[[#This Row],[run 1 times]]=$S$3,0,MAX(0,ROUND(((Table127163137496173109[[#This Row],[run 1 times]]-$S$3)/$S$3)*$T$6,2))))</f>
        <v>211.65</v>
      </c>
      <c r="N9" s="2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9.4930555555555556E-4</v>
      </c>
      <c r="O9" s="3">
        <f>IF(Table127163137496173109[[#This Row],[run2 times]]="",999.99,IF(Table127163137496173109[[#This Row],[run2 times]]=$T$3,0,MAX(0,ROUND(((Table127163137496173109[[#This Row],[run2 times]]-$T$3)/$T$3)*$T$6,2))))</f>
        <v>216.9</v>
      </c>
      <c r="P9" s="2">
        <f>IF(OR(Table127163137496173109[[#This Row],[run 1 times]]="",Table127163137496173109[[#This Row],[run2 times]]=""),"",Table127163137496173109[[#This Row],[run 1 times]]+Table127163137496173109[[#This Row],[run2 times]])</f>
        <v>1.8111111111111112E-3</v>
      </c>
      <c r="Q9" s="3">
        <f>IF(Table127163137496173109[[#This Row],[total time]]="",999.99,IF(Table127163137496173109[[#This Row],[total time]]=$U$3,0,MAX(0,ROUND(((Table127163137496173109[[#This Row],[total time]]-$U$3)/$U$3)*$T$6,2))))</f>
        <v>214.39</v>
      </c>
      <c r="W9">
        <v>12</v>
      </c>
      <c r="X9">
        <v>150</v>
      </c>
      <c r="Y9" t="s">
        <v>24</v>
      </c>
      <c r="Z9" t="s">
        <v>547</v>
      </c>
      <c r="AA9" t="s">
        <v>840</v>
      </c>
      <c r="AB9">
        <v>2010</v>
      </c>
      <c r="AC9" s="1" t="s">
        <v>512</v>
      </c>
      <c r="AD9" s="1" t="s">
        <v>512</v>
      </c>
      <c r="AE9" s="1"/>
      <c r="AG9">
        <v>88937</v>
      </c>
      <c r="AH9" s="2" t="str">
        <f>_xlfn.LET(_xlpm.x,Table122110193440526476112[[#This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9" s="3">
        <f>IF(Table122110193440526476112[[#This Row],[run 1 times]]="",999.99,IF(Table122110193440526476112[[#This Row],[run 1 times]]=$AO$3,0,MAX(0,ROUND(((Table122110193440526476112[[#This Row],[run 1 times]]-$AO$3)/$AO$3)*$AP$6,2))))</f>
        <v>999.99</v>
      </c>
      <c r="AJ9" s="2" t="str">
        <f>_xlfn.LET(_xlpm.x,Table122110193440526476112[[#This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9" s="3">
        <f>IF(Table122110193440526476112[[#This Row],[run2 times]]="",999.99,IF(Table122110193440526476112[[#This Row],[run2 times]]=$AP$3,0,MAX(0,ROUND(((Table122110193440526476112[[#This Row],[run2 times]]-$AP$3)/$AP$3)*$AP$6,2))))</f>
        <v>999.99</v>
      </c>
      <c r="AL9" s="2" t="str">
        <f>IF(OR(Table122110193440526476112[[#This Row],[run 1 times]]="",Table122110193440526476112[[#This Row],[run2 times]]=""),"",Table122110193440526476112[[#This Row],[run 1 times]]+Table122110193440526476112[[#This Row],[run2 times]])</f>
        <v/>
      </c>
      <c r="AM9" s="3">
        <f>IF(Table122110193440526476112[[#This Row],[total time]]="",999.99,IF(Table122110193440526476112[[#This Row],[total time]]=$AQ$3,0,MAX(0,ROUND(((Table122110193440526476112[[#This Row],[total time]]-$AQ$3)/$AQ$3)*$AP$6,2))))</f>
        <v>999.99</v>
      </c>
    </row>
    <row r="10" spans="1:43" x14ac:dyDescent="0.3">
      <c r="A10">
        <v>20</v>
      </c>
      <c r="B10">
        <v>60</v>
      </c>
      <c r="C10" t="s">
        <v>851</v>
      </c>
      <c r="D10" t="s">
        <v>522</v>
      </c>
      <c r="E10" t="s">
        <v>874</v>
      </c>
      <c r="F10">
        <v>2012</v>
      </c>
      <c r="G10" s="1">
        <v>7.1250000000000003E-4</v>
      </c>
      <c r="H10" s="1">
        <v>7.8148148148148142E-4</v>
      </c>
      <c r="I10" s="1">
        <v>1.4939814814814815E-3</v>
      </c>
      <c r="K10">
        <v>7186083</v>
      </c>
      <c r="L10" s="2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7.1250000000000003E-4</v>
      </c>
      <c r="M10" s="3">
        <f>IF(Table127163137496173109[[#This Row],[run 1 times]]="",999.99,IF(Table127163137496173109[[#This Row],[run 1 times]]=$S$3,0,MAX(0,ROUND(((Table127163137496173109[[#This Row],[run 1 times]]-$S$3)/$S$3)*$T$6,2))))</f>
        <v>0</v>
      </c>
      <c r="N10" s="2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7.8148148148148142E-4</v>
      </c>
      <c r="O10" s="3">
        <f>IF(Table127163137496173109[[#This Row],[run2 times]]="",999.99,IF(Table127163137496173109[[#This Row],[run2 times]]=$T$3,0,MAX(0,ROUND(((Table127163137496173109[[#This Row],[run2 times]]-$T$3)/$T$3)*$T$6,2))))</f>
        <v>0</v>
      </c>
      <c r="P10" s="2">
        <f>IF(OR(Table127163137496173109[[#This Row],[run 1 times]]="",Table127163137496173109[[#This Row],[run2 times]]=""),"",Table127163137496173109[[#This Row],[run 1 times]]+Table127163137496173109[[#This Row],[run2 times]])</f>
        <v>1.4939814814814815E-3</v>
      </c>
      <c r="Q10" s="3">
        <f>IF(Table127163137496173109[[#This Row],[total time]]="",999.99,IF(Table127163137496173109[[#This Row],[total time]]=$U$3,0,MAX(0,ROUND(((Table127163137496173109[[#This Row],[total time]]-$U$3)/$U$3)*$T$6,2))))</f>
        <v>0</v>
      </c>
      <c r="W10">
        <v>11</v>
      </c>
      <c r="X10">
        <v>151</v>
      </c>
      <c r="Y10" t="s">
        <v>223</v>
      </c>
      <c r="Z10" t="s">
        <v>547</v>
      </c>
      <c r="AA10" t="s">
        <v>746</v>
      </c>
      <c r="AB10">
        <v>2011</v>
      </c>
      <c r="AC10" s="1">
        <v>57.25</v>
      </c>
      <c r="AD10" s="1">
        <v>57.53</v>
      </c>
      <c r="AE10" s="1">
        <v>1.3284722222222222E-3</v>
      </c>
      <c r="AG10">
        <v>93462</v>
      </c>
      <c r="AH10" s="2">
        <f>_xlfn.LET(_xlpm.x,Table122110193440526476112[[#This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6.6261574074074074E-4</v>
      </c>
      <c r="AI10" s="3">
        <f>IF(Table122110193440526476112[[#This Row],[run 1 times]]="",999.99,IF(Table122110193440526476112[[#This Row],[run 1 times]]=$AO$3,0,MAX(0,ROUND(((Table122110193440526476112[[#This Row],[run 1 times]]-$AO$3)/$AO$3)*$AP$6,2))))</f>
        <v>120.67</v>
      </c>
      <c r="AJ10" s="2">
        <f>_xlfn.LET(_xlpm.x,Table122110193440526476112[[#This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6.6585648148148146E-4</v>
      </c>
      <c r="AK10" s="3">
        <f>IF(Table122110193440526476112[[#This Row],[run2 times]]="",999.99,IF(Table122110193440526476112[[#This Row],[run2 times]]=$AP$3,0,MAX(0,ROUND(((Table122110193440526476112[[#This Row],[run2 times]]-$AP$3)/$AP$3)*$AP$6,2))))</f>
        <v>90.27</v>
      </c>
      <c r="AL10" s="2">
        <f>IF(OR(Table122110193440526476112[[#This Row],[run 1 times]]="",Table122110193440526476112[[#This Row],[run2 times]]=""),"",Table122110193440526476112[[#This Row],[run 1 times]]+Table122110193440526476112[[#This Row],[run2 times]])</f>
        <v>1.3284722222222222E-3</v>
      </c>
      <c r="AM10" s="3">
        <f>IF(Table122110193440526476112[[#This Row],[total time]]="",999.99,IF(Table122110193440526476112[[#This Row],[total time]]=$AQ$3,0,MAX(0,ROUND(((Table122110193440526476112[[#This Row],[total time]]-$AQ$3)/$AQ$3)*$AP$6,2))))</f>
        <v>99.99</v>
      </c>
    </row>
    <row r="11" spans="1:43" x14ac:dyDescent="0.3">
      <c r="A11">
        <v>19</v>
      </c>
      <c r="B11">
        <v>61</v>
      </c>
      <c r="C11" t="s">
        <v>851</v>
      </c>
      <c r="D11" t="s">
        <v>522</v>
      </c>
      <c r="E11" t="s">
        <v>875</v>
      </c>
      <c r="F11">
        <v>2012</v>
      </c>
      <c r="G11" s="1">
        <v>7.4571759259259263E-4</v>
      </c>
      <c r="H11" s="1">
        <v>8.2037037037037029E-4</v>
      </c>
      <c r="I11" s="1">
        <v>1.5660879629629629E-3</v>
      </c>
      <c r="K11">
        <v>7229449</v>
      </c>
      <c r="L11" s="2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7.4571759259259263E-4</v>
      </c>
      <c r="M11" s="3">
        <f>IF(Table127163137496173109[[#This Row],[run 1 times]]="",999.99,IF(Table127163137496173109[[#This Row],[run 1 times]]=$S$3,0,MAX(0,ROUND(((Table127163137496173109[[#This Row],[run 1 times]]-$S$3)/$S$3)*$T$6,2))))</f>
        <v>47.09</v>
      </c>
      <c r="N11" s="2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8.2037037037037029E-4</v>
      </c>
      <c r="O11" s="3">
        <f>IF(Table127163137496173109[[#This Row],[run2 times]]="",999.99,IF(Table127163137496173109[[#This Row],[run2 times]]=$T$3,0,MAX(0,ROUND(((Table127163137496173109[[#This Row],[run2 times]]-$T$3)/$T$3)*$T$6,2))))</f>
        <v>50.26</v>
      </c>
      <c r="P11" s="2">
        <f>IF(OR(Table127163137496173109[[#This Row],[run 1 times]]="",Table127163137496173109[[#This Row],[run2 times]]=""),"",Table127163137496173109[[#This Row],[run 1 times]]+Table127163137496173109[[#This Row],[run2 times]])</f>
        <v>1.5660879629629629E-3</v>
      </c>
      <c r="Q11" s="3">
        <f>IF(Table127163137496173109[[#This Row],[total time]]="",999.99,IF(Table127163137496173109[[#This Row],[total time]]=$U$3,0,MAX(0,ROUND(((Table127163137496173109[[#This Row],[total time]]-$U$3)/$U$3)*$T$6,2))))</f>
        <v>48.75</v>
      </c>
      <c r="W11">
        <v>10</v>
      </c>
      <c r="X11">
        <v>152</v>
      </c>
      <c r="Y11" t="s">
        <v>479</v>
      </c>
      <c r="Z11" t="s">
        <v>547</v>
      </c>
      <c r="AA11" t="s">
        <v>750</v>
      </c>
      <c r="AB11">
        <v>2011</v>
      </c>
      <c r="AC11" s="1">
        <v>54.36</v>
      </c>
      <c r="AD11" s="1">
        <v>55.13</v>
      </c>
      <c r="AE11" s="1">
        <v>1.2672453703703704E-3</v>
      </c>
      <c r="AG11">
        <v>101428</v>
      </c>
      <c r="AH11" s="2">
        <f>_xlfn.LET(_xlpm.x,Table122110193440526476112[[#This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6.2916666666666665E-4</v>
      </c>
      <c r="AI11" s="3">
        <f>IF(Table122110193440526476112[[#This Row],[run 1 times]]="",999.99,IF(Table122110193440526476112[[#This Row],[run 1 times]]=$AO$3,0,MAX(0,ROUND(((Table122110193440526476112[[#This Row],[run 1 times]]-$AO$3)/$AO$3)*$AP$6,2))))</f>
        <v>63.59</v>
      </c>
      <c r="AJ11" s="2">
        <f>_xlfn.LET(_xlpm.x,Table122110193440526476112[[#This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6.3807870370370375E-4</v>
      </c>
      <c r="AK11" s="3">
        <f>IF(Table122110193440526476112[[#This Row],[run2 times]]="",999.99,IF(Table122110193440526476112[[#This Row],[run2 times]]=$AP$3,0,MAX(0,ROUND(((Table122110193440526476112[[#This Row],[run2 times]]-$AP$3)/$AP$3)*$AP$6,2))))</f>
        <v>44.37</v>
      </c>
      <c r="AL11" s="2">
        <f>IF(OR(Table122110193440526476112[[#This Row],[run 1 times]]="",Table122110193440526476112[[#This Row],[run2 times]]=""),"",Table122110193440526476112[[#This Row],[run 1 times]]+Table122110193440526476112[[#This Row],[run2 times]])</f>
        <v>1.2672453703703704E-3</v>
      </c>
      <c r="AM11" s="3">
        <f>IF(Table122110193440526476112[[#This Row],[total time]]="",999.99,IF(Table122110193440526476112[[#This Row],[total time]]=$AQ$3,0,MAX(0,ROUND(((Table122110193440526476112[[#This Row],[total time]]-$AQ$3)/$AQ$3)*$AP$6,2))))</f>
        <v>48.84</v>
      </c>
    </row>
    <row r="12" spans="1:43" x14ac:dyDescent="0.3">
      <c r="A12">
        <v>18</v>
      </c>
      <c r="B12">
        <v>62</v>
      </c>
      <c r="C12" t="s">
        <v>479</v>
      </c>
      <c r="D12" t="s">
        <v>522</v>
      </c>
      <c r="E12" t="s">
        <v>700</v>
      </c>
      <c r="F12">
        <v>2013</v>
      </c>
      <c r="G12" s="1">
        <v>8.2256944444444435E-4</v>
      </c>
      <c r="H12" s="1">
        <v>9.049768518518518E-4</v>
      </c>
      <c r="I12" s="1">
        <v>1.7275462962962963E-3</v>
      </c>
      <c r="K12">
        <v>101432</v>
      </c>
      <c r="L12" s="2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8.2256944444444435E-4</v>
      </c>
      <c r="M12" s="3">
        <f>IF(Table127163137496173109[[#This Row],[run 1 times]]="",999.99,IF(Table127163137496173109[[#This Row],[run 1 times]]=$S$3,0,MAX(0,ROUND(((Table127163137496173109[[#This Row],[run 1 times]]-$S$3)/$S$3)*$T$6,2))))</f>
        <v>156.03</v>
      </c>
      <c r="N12" s="2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9.049768518518518E-4</v>
      </c>
      <c r="O12" s="3">
        <f>IF(Table127163137496173109[[#This Row],[run2 times]]="",999.99,IF(Table127163137496173109[[#This Row],[run2 times]]=$T$3,0,MAX(0,ROUND(((Table127163137496173109[[#This Row],[run2 times]]-$T$3)/$T$3)*$T$6,2))))</f>
        <v>159.61000000000001</v>
      </c>
      <c r="P12" s="2">
        <f>IF(OR(Table127163137496173109[[#This Row],[run 1 times]]="",Table127163137496173109[[#This Row],[run2 times]]=""),"",Table127163137496173109[[#This Row],[run 1 times]]+Table127163137496173109[[#This Row],[run2 times]])</f>
        <v>1.727546296296296E-3</v>
      </c>
      <c r="Q12" s="3">
        <f>IF(Table127163137496173109[[#This Row],[total time]]="",999.99,IF(Table127163137496173109[[#This Row],[total time]]=$U$3,0,MAX(0,ROUND(((Table127163137496173109[[#This Row],[total time]]-$U$3)/$U$3)*$T$6,2))))</f>
        <v>157.9</v>
      </c>
      <c r="W12">
        <v>9</v>
      </c>
      <c r="X12">
        <v>153</v>
      </c>
      <c r="Y12" t="s">
        <v>24</v>
      </c>
      <c r="Z12" t="s">
        <v>547</v>
      </c>
      <c r="AA12" t="s">
        <v>762</v>
      </c>
      <c r="AB12">
        <v>2011</v>
      </c>
      <c r="AC12" s="1">
        <v>55.23</v>
      </c>
      <c r="AD12" s="1">
        <v>56.89</v>
      </c>
      <c r="AE12" s="1">
        <v>1.2976851851851851E-3</v>
      </c>
      <c r="AG12">
        <v>89867</v>
      </c>
      <c r="AH12" s="2">
        <f>_xlfn.LET(_xlpm.x,Table122110193440526476112[[#This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6.3923611111111104E-4</v>
      </c>
      <c r="AI12" s="3">
        <f>IF(Table122110193440526476112[[#This Row],[run 1 times]]="",999.99,IF(Table122110193440526476112[[#This Row],[run 1 times]]=$AO$3,0,MAX(0,ROUND(((Table122110193440526476112[[#This Row],[run 1 times]]-$AO$3)/$AO$3)*$AP$6,2))))</f>
        <v>80.78</v>
      </c>
      <c r="AJ12" s="2">
        <f>_xlfn.LET(_xlpm.x,Table122110193440526476112[[#This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6.584490740740741E-4</v>
      </c>
      <c r="AK12" s="3">
        <f>IF(Table122110193440526476112[[#This Row],[run2 times]]="",999.99,IF(Table122110193440526476112[[#This Row],[run2 times]]=$AP$3,0,MAX(0,ROUND(((Table122110193440526476112[[#This Row],[run2 times]]-$AP$3)/$AP$3)*$AP$6,2))))</f>
        <v>78.03</v>
      </c>
      <c r="AL12" s="2">
        <f>IF(OR(Table122110193440526476112[[#This Row],[run 1 times]]="",Table122110193440526476112[[#This Row],[run2 times]]=""),"",Table122110193440526476112[[#This Row],[run 1 times]]+Table122110193440526476112[[#This Row],[run2 times]])</f>
        <v>1.2976851851851851E-3</v>
      </c>
      <c r="AM12" s="3">
        <f>IF(Table122110193440526476112[[#This Row],[total time]]="",999.99,IF(Table122110193440526476112[[#This Row],[total time]]=$AQ$3,0,MAX(0,ROUND(((Table122110193440526476112[[#This Row],[total time]]-$AQ$3)/$AQ$3)*$AP$6,2))))</f>
        <v>74.27</v>
      </c>
    </row>
    <row r="13" spans="1:43" x14ac:dyDescent="0.3">
      <c r="A13">
        <v>17</v>
      </c>
      <c r="B13">
        <v>63</v>
      </c>
      <c r="C13" t="s">
        <v>257</v>
      </c>
      <c r="D13" t="s">
        <v>480</v>
      </c>
      <c r="E13" t="s">
        <v>671</v>
      </c>
      <c r="F13">
        <v>2015</v>
      </c>
      <c r="G13" s="1">
        <v>7.9074074074074062E-4</v>
      </c>
      <c r="H13" s="1">
        <v>8.5057870370370365E-4</v>
      </c>
      <c r="I13" s="1">
        <v>1.6413194444444444E-3</v>
      </c>
      <c r="K13">
        <v>119078</v>
      </c>
      <c r="L13" s="2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7.9074074074074062E-4</v>
      </c>
      <c r="M13" s="3">
        <f>IF(Table127163137496173109[[#This Row],[run 1 times]]="",999.99,IF(Table127163137496173109[[#This Row],[run 1 times]]=$S$3,0,MAX(0,ROUND(((Table127163137496173109[[#This Row],[run 1 times]]-$S$3)/$S$3)*$T$6,2))))</f>
        <v>110.91</v>
      </c>
      <c r="N13" s="2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8.5057870370370365E-4</v>
      </c>
      <c r="O13" s="3">
        <f>IF(Table127163137496173109[[#This Row],[run2 times]]="",999.99,IF(Table127163137496173109[[#This Row],[run2 times]]=$T$3,0,MAX(0,ROUND(((Table127163137496173109[[#This Row],[run2 times]]-$T$3)/$T$3)*$T$6,2))))</f>
        <v>89.3</v>
      </c>
      <c r="P13" s="2">
        <f>IF(OR(Table127163137496173109[[#This Row],[run 1 times]]="",Table127163137496173109[[#This Row],[run2 times]]=""),"",Table127163137496173109[[#This Row],[run 1 times]]+Table127163137496173109[[#This Row],[run2 times]])</f>
        <v>1.6413194444444444E-3</v>
      </c>
      <c r="Q13" s="3">
        <f>IF(Table127163137496173109[[#This Row],[total time]]="",999.99,IF(Table127163137496173109[[#This Row],[total time]]=$U$3,0,MAX(0,ROUND(((Table127163137496173109[[#This Row],[total time]]-$U$3)/$U$3)*$T$6,2))))</f>
        <v>99.61</v>
      </c>
      <c r="W13">
        <v>8</v>
      </c>
      <c r="X13">
        <v>154</v>
      </c>
      <c r="Y13" t="s">
        <v>257</v>
      </c>
      <c r="Z13" t="s">
        <v>547</v>
      </c>
      <c r="AA13" t="s">
        <v>744</v>
      </c>
      <c r="AB13">
        <v>2010</v>
      </c>
      <c r="AC13" s="1">
        <v>56.92</v>
      </c>
      <c r="AD13" s="1">
        <v>58.77</v>
      </c>
      <c r="AE13" s="1">
        <v>1.3390046296296297E-3</v>
      </c>
      <c r="AG13">
        <v>102725</v>
      </c>
      <c r="AH13" s="2">
        <f>_xlfn.LET(_xlpm.x,Table122110193440526476112[[#This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6.5879629629629632E-4</v>
      </c>
      <c r="AI13" s="3">
        <f>IF(Table122110193440526476112[[#This Row],[run 1 times]]="",999.99,IF(Table122110193440526476112[[#This Row],[run 1 times]]=$AO$3,0,MAX(0,ROUND(((Table122110193440526476112[[#This Row],[run 1 times]]-$AO$3)/$AO$3)*$AP$6,2))))</f>
        <v>114.15</v>
      </c>
      <c r="AJ13" s="2">
        <f>_xlfn.LET(_xlpm.x,Table122110193440526476112[[#This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6.8020833333333334E-4</v>
      </c>
      <c r="AK13" s="3">
        <f>IF(Table122110193440526476112[[#This Row],[run2 times]]="",999.99,IF(Table122110193440526476112[[#This Row],[run2 times]]=$AP$3,0,MAX(0,ROUND(((Table122110193440526476112[[#This Row],[run2 times]]-$AP$3)/$AP$3)*$AP$6,2))))</f>
        <v>113.99</v>
      </c>
      <c r="AL13" s="2">
        <f>IF(OR(Table122110193440526476112[[#This Row],[run 1 times]]="",Table122110193440526476112[[#This Row],[run2 times]]=""),"",Table122110193440526476112[[#This Row],[run 1 times]]+Table122110193440526476112[[#This Row],[run2 times]])</f>
        <v>1.3390046296296297E-3</v>
      </c>
      <c r="AM13" s="3">
        <f>IF(Table122110193440526476112[[#This Row],[total time]]="",999.99,IF(Table122110193440526476112[[#This Row],[total time]]=$AQ$3,0,MAX(0,ROUND(((Table122110193440526476112[[#This Row],[total time]]-$AQ$3)/$AQ$3)*$AP$6,2))))</f>
        <v>108.79</v>
      </c>
    </row>
    <row r="14" spans="1:43" x14ac:dyDescent="0.3">
      <c r="A14">
        <v>16</v>
      </c>
      <c r="B14">
        <v>64</v>
      </c>
      <c r="C14" t="s">
        <v>487</v>
      </c>
      <c r="D14" t="s">
        <v>480</v>
      </c>
      <c r="E14" t="s">
        <v>876</v>
      </c>
      <c r="F14">
        <v>2015</v>
      </c>
      <c r="G14" s="1" t="s">
        <v>512</v>
      </c>
      <c r="H14" s="1">
        <v>1.235648148148148E-3</v>
      </c>
      <c r="I14" s="1"/>
      <c r="K14">
        <v>108844</v>
      </c>
      <c r="L14" s="2" t="str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14" s="3">
        <f>IF(Table127163137496173109[[#This Row],[run 1 times]]="",999.99,IF(Table127163137496173109[[#This Row],[run 1 times]]=$S$3,0,MAX(0,ROUND(((Table127163137496173109[[#This Row],[run 1 times]]-$S$3)/$S$3)*$T$6,2))))</f>
        <v>999.99</v>
      </c>
      <c r="N14" s="2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1.235648148148148E-3</v>
      </c>
      <c r="O14" s="3">
        <f>IF(Table127163137496173109[[#This Row],[run2 times]]="",999.99,IF(Table127163137496173109[[#This Row],[run2 times]]=$T$3,0,MAX(0,ROUND(((Table127163137496173109[[#This Row],[run2 times]]-$T$3)/$T$3)*$T$6,2))))</f>
        <v>586.97</v>
      </c>
      <c r="P14" s="2" t="str">
        <f>IF(OR(Table127163137496173109[[#This Row],[run 1 times]]="",Table127163137496173109[[#This Row],[run2 times]]=""),"",Table127163137496173109[[#This Row],[run 1 times]]+Table127163137496173109[[#This Row],[run2 times]])</f>
        <v/>
      </c>
      <c r="Q14" s="3">
        <f>IF(Table127163137496173109[[#This Row],[total time]]="",999.99,IF(Table127163137496173109[[#This Row],[total time]]=$U$3,0,MAX(0,ROUND(((Table127163137496173109[[#This Row],[total time]]-$U$3)/$U$3)*$T$6,2))))</f>
        <v>999.99</v>
      </c>
      <c r="W14">
        <v>6</v>
      </c>
      <c r="X14">
        <v>156</v>
      </c>
      <c r="Y14" t="s">
        <v>487</v>
      </c>
      <c r="Z14" t="s">
        <v>547</v>
      </c>
      <c r="AA14" t="s">
        <v>841</v>
      </c>
      <c r="AB14">
        <v>2010</v>
      </c>
      <c r="AC14" s="1">
        <v>52.72</v>
      </c>
      <c r="AD14" s="1">
        <v>55.49</v>
      </c>
      <c r="AE14" s="1">
        <v>1.2524305555555557E-3</v>
      </c>
      <c r="AG14">
        <v>93779</v>
      </c>
      <c r="AH14" s="2">
        <f>_xlfn.LET(_xlpm.x,Table122110193440526476112[[#This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6.1018518518518518E-4</v>
      </c>
      <c r="AI14" s="3">
        <f>IF(Table122110193440526476112[[#This Row],[run 1 times]]="",999.99,IF(Table122110193440526476112[[#This Row],[run 1 times]]=$AO$3,0,MAX(0,ROUND(((Table122110193440526476112[[#This Row],[run 1 times]]-$AO$3)/$AO$3)*$AP$6,2))))</f>
        <v>31.2</v>
      </c>
      <c r="AJ14" s="2">
        <f>_xlfn.LET(_xlpm.x,Table122110193440526476112[[#This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6.4224537037037039E-4</v>
      </c>
      <c r="AK14" s="3">
        <f>IF(Table122110193440526476112[[#This Row],[run2 times]]="",999.99,IF(Table122110193440526476112[[#This Row],[run2 times]]=$AP$3,0,MAX(0,ROUND(((Table122110193440526476112[[#This Row],[run2 times]]-$AP$3)/$AP$3)*$AP$6,2))))</f>
        <v>51.26</v>
      </c>
      <c r="AL14" s="2">
        <f>IF(OR(Table122110193440526476112[[#This Row],[run 1 times]]="",Table122110193440526476112[[#This Row],[run2 times]]=""),"",Table122110193440526476112[[#This Row],[run 1 times]]+Table122110193440526476112[[#This Row],[run2 times]])</f>
        <v>1.2524305555555557E-3</v>
      </c>
      <c r="AM14" s="3">
        <f>IF(Table122110193440526476112[[#This Row],[total time]]="",999.99,IF(Table122110193440526476112[[#This Row],[total time]]=$AQ$3,0,MAX(0,ROUND(((Table122110193440526476112[[#This Row],[total time]]-$AQ$3)/$AQ$3)*$AP$6,2))))</f>
        <v>36.46</v>
      </c>
    </row>
    <row r="15" spans="1:43" x14ac:dyDescent="0.3">
      <c r="A15">
        <v>15</v>
      </c>
      <c r="B15">
        <v>65</v>
      </c>
      <c r="C15" t="s">
        <v>373</v>
      </c>
      <c r="D15" t="s">
        <v>522</v>
      </c>
      <c r="E15" t="s">
        <v>674</v>
      </c>
      <c r="F15">
        <v>2012</v>
      </c>
      <c r="G15" s="1">
        <v>7.9629629629629625E-4</v>
      </c>
      <c r="H15" s="1">
        <v>8.7974537037037047E-4</v>
      </c>
      <c r="I15" s="1">
        <v>1.6760416666666666E-3</v>
      </c>
      <c r="K15">
        <v>122060</v>
      </c>
      <c r="L15" s="2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7.9629629629629625E-4</v>
      </c>
      <c r="M15" s="3">
        <f>IF(Table127163137496173109[[#This Row],[run 1 times]]="",999.99,IF(Table127163137496173109[[#This Row],[run 1 times]]=$S$3,0,MAX(0,ROUND(((Table127163137496173109[[#This Row],[run 1 times]]-$S$3)/$S$3)*$T$6,2))))</f>
        <v>118.78</v>
      </c>
      <c r="N15" s="2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8.7974537037037047E-4</v>
      </c>
      <c r="O15" s="3">
        <f>IF(Table127163137496173109[[#This Row],[run2 times]]="",999.99,IF(Table127163137496173109[[#This Row],[run2 times]]=$T$3,0,MAX(0,ROUND(((Table127163137496173109[[#This Row],[run2 times]]-$T$3)/$T$3)*$T$6,2))))</f>
        <v>127</v>
      </c>
      <c r="P15" s="2">
        <f>IF(OR(Table127163137496173109[[#This Row],[run 1 times]]="",Table127163137496173109[[#This Row],[run2 times]]=""),"",Table127163137496173109[[#This Row],[run 1 times]]+Table127163137496173109[[#This Row],[run2 times]])</f>
        <v>1.6760416666666668E-3</v>
      </c>
      <c r="Q15" s="3">
        <f>IF(Table127163137496173109[[#This Row],[total time]]="",999.99,IF(Table127163137496173109[[#This Row],[total time]]=$U$3,0,MAX(0,ROUND(((Table127163137496173109[[#This Row],[total time]]-$U$3)/$U$3)*$T$6,2))))</f>
        <v>123.08</v>
      </c>
      <c r="W15">
        <v>5</v>
      </c>
      <c r="X15">
        <v>157</v>
      </c>
      <c r="Y15" t="s">
        <v>223</v>
      </c>
      <c r="Z15" t="s">
        <v>547</v>
      </c>
      <c r="AA15" t="s">
        <v>745</v>
      </c>
      <c r="AB15">
        <v>2011</v>
      </c>
      <c r="AC15" s="1">
        <v>55.67</v>
      </c>
      <c r="AD15" s="1">
        <v>56.08</v>
      </c>
      <c r="AE15" s="1">
        <v>1.2934027777777779E-3</v>
      </c>
      <c r="AG15">
        <v>102458</v>
      </c>
      <c r="AH15" s="2">
        <f>_xlfn.LET(_xlpm.x,Table122110193440526476112[[#This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6.4432870370370371E-4</v>
      </c>
      <c r="AI15" s="3">
        <f>IF(Table122110193440526476112[[#This Row],[run 1 times]]="",999.99,IF(Table122110193440526476112[[#This Row],[run 1 times]]=$AO$3,0,MAX(0,ROUND(((Table122110193440526476112[[#This Row],[run 1 times]]-$AO$3)/$AO$3)*$AP$6,2))))</f>
        <v>89.47</v>
      </c>
      <c r="AJ15" s="2">
        <f>_xlfn.LET(_xlpm.x,Table122110193440526476112[[#This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6.4907407407407405E-4</v>
      </c>
      <c r="AK15" s="3">
        <f>IF(Table122110193440526476112[[#This Row],[run2 times]]="",999.99,IF(Table122110193440526476112[[#This Row],[run2 times]]=$AP$3,0,MAX(0,ROUND(((Table122110193440526476112[[#This Row],[run2 times]]-$AP$3)/$AP$3)*$AP$6,2))))</f>
        <v>62.54</v>
      </c>
      <c r="AL15" s="2">
        <f>IF(OR(Table122110193440526476112[[#This Row],[run 1 times]]="",Table122110193440526476112[[#This Row],[run2 times]]=""),"",Table122110193440526476112[[#This Row],[run 1 times]]+Table122110193440526476112[[#This Row],[run2 times]])</f>
        <v>1.2934027777777779E-3</v>
      </c>
      <c r="AM15" s="3">
        <f>IF(Table122110193440526476112[[#This Row],[total time]]="",999.99,IF(Table122110193440526476112[[#This Row],[total time]]=$AQ$3,0,MAX(0,ROUND(((Table122110193440526476112[[#This Row],[total time]]-$AQ$3)/$AQ$3)*$AP$6,2))))</f>
        <v>70.69</v>
      </c>
    </row>
    <row r="16" spans="1:43" x14ac:dyDescent="0.3">
      <c r="A16">
        <v>14</v>
      </c>
      <c r="B16">
        <v>66</v>
      </c>
      <c r="C16" t="s">
        <v>257</v>
      </c>
      <c r="D16" t="s">
        <v>522</v>
      </c>
      <c r="E16" t="s">
        <v>708</v>
      </c>
      <c r="F16">
        <v>2013</v>
      </c>
      <c r="G16" s="1">
        <v>9.592592592592592E-4</v>
      </c>
      <c r="H16" s="1">
        <v>1.0501157407407408E-3</v>
      </c>
      <c r="I16" s="1">
        <v>2.0093750000000003E-3</v>
      </c>
      <c r="K16">
        <v>120663</v>
      </c>
      <c r="L16" s="2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9.592592592592592E-4</v>
      </c>
      <c r="M16" s="3">
        <f>IF(Table127163137496173109[[#This Row],[run 1 times]]="",999.99,IF(Table127163137496173109[[#This Row],[run 1 times]]=$S$3,0,MAX(0,ROUND(((Table127163137496173109[[#This Row],[run 1 times]]-$S$3)/$S$3)*$T$6,2))))</f>
        <v>349.79</v>
      </c>
      <c r="N16" s="2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1.0501157407407408E-3</v>
      </c>
      <c r="O16" s="3">
        <f>IF(Table127163137496173109[[#This Row],[run2 times]]="",999.99,IF(Table127163137496173109[[#This Row],[run2 times]]=$T$3,0,MAX(0,ROUND(((Table127163137496173109[[#This Row],[run2 times]]-$T$3)/$T$3)*$T$6,2))))</f>
        <v>347.19</v>
      </c>
      <c r="P16" s="2">
        <f>IF(OR(Table127163137496173109[[#This Row],[run 1 times]]="",Table127163137496173109[[#This Row],[run2 times]]=""),"",Table127163137496173109[[#This Row],[run 1 times]]+Table127163137496173109[[#This Row],[run2 times]])</f>
        <v>2.0093749999999999E-3</v>
      </c>
      <c r="Q16" s="3">
        <f>IF(Table127163137496173109[[#This Row],[total time]]="",999.99,IF(Table127163137496173109[[#This Row],[total time]]=$U$3,0,MAX(0,ROUND(((Table127163137496173109[[#This Row],[total time]]-$U$3)/$U$3)*$T$6,2))))</f>
        <v>348.43</v>
      </c>
      <c r="W16">
        <v>4</v>
      </c>
      <c r="X16">
        <v>158</v>
      </c>
      <c r="Y16" t="s">
        <v>24</v>
      </c>
      <c r="Z16" t="s">
        <v>547</v>
      </c>
      <c r="AA16" t="s">
        <v>759</v>
      </c>
      <c r="AB16">
        <v>2011</v>
      </c>
      <c r="AC16" s="1">
        <v>56.68</v>
      </c>
      <c r="AD16" s="1">
        <v>56.27</v>
      </c>
      <c r="AE16" s="1">
        <v>1.3072916666666667E-3</v>
      </c>
      <c r="AG16">
        <v>88784</v>
      </c>
      <c r="AH16" s="2">
        <f>_xlfn.LET(_xlpm.x,Table122110193440526476112[[#This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6.5601851851851856E-4</v>
      </c>
      <c r="AI16" s="3">
        <f>IF(Table122110193440526476112[[#This Row],[run 1 times]]="",999.99,IF(Table122110193440526476112[[#This Row],[run 1 times]]=$AO$3,0,MAX(0,ROUND(((Table122110193440526476112[[#This Row],[run 1 times]]-$AO$3)/$AO$3)*$AP$6,2))))</f>
        <v>109.41</v>
      </c>
      <c r="AJ16" s="2">
        <f>_xlfn.LET(_xlpm.x,Table122110193440526476112[[#This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6.5127314814814822E-4</v>
      </c>
      <c r="AK16" s="3">
        <f>IF(Table122110193440526476112[[#This Row],[run2 times]]="",999.99,IF(Table122110193440526476112[[#This Row],[run2 times]]=$AP$3,0,MAX(0,ROUND(((Table122110193440526476112[[#This Row],[run2 times]]-$AP$3)/$AP$3)*$AP$6,2))))</f>
        <v>66.17</v>
      </c>
      <c r="AL16" s="2">
        <f>IF(OR(Table122110193440526476112[[#This Row],[run 1 times]]="",Table122110193440526476112[[#This Row],[run2 times]]=""),"",Table122110193440526476112[[#This Row],[run 1 times]]+Table122110193440526476112[[#This Row],[run2 times]])</f>
        <v>1.3072916666666667E-3</v>
      </c>
      <c r="AM16" s="3">
        <f>IF(Table122110193440526476112[[#This Row],[total time]]="",999.99,IF(Table122110193440526476112[[#This Row],[total time]]=$AQ$3,0,MAX(0,ROUND(((Table122110193440526476112[[#This Row],[total time]]-$AQ$3)/$AQ$3)*$AP$6,2))))</f>
        <v>82.3</v>
      </c>
    </row>
    <row r="17" spans="1:39" x14ac:dyDescent="0.3">
      <c r="A17">
        <v>13</v>
      </c>
      <c r="B17">
        <v>67</v>
      </c>
      <c r="C17" t="s">
        <v>838</v>
      </c>
      <c r="D17" t="s">
        <v>480</v>
      </c>
      <c r="E17" t="s">
        <v>877</v>
      </c>
      <c r="F17">
        <v>2015</v>
      </c>
      <c r="G17" s="1">
        <v>1.038773148148148E-3</v>
      </c>
      <c r="H17" s="1">
        <v>1.1248842592592593E-3</v>
      </c>
      <c r="I17" s="1">
        <v>2.1636574074074075E-3</v>
      </c>
      <c r="K17">
        <v>124168</v>
      </c>
      <c r="L17" s="2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1.038773148148148E-3</v>
      </c>
      <c r="M17" s="3">
        <f>IF(Table127163137496173109[[#This Row],[run 1 times]]="",999.99,IF(Table127163137496173109[[#This Row],[run 1 times]]=$S$3,0,MAX(0,ROUND(((Table127163137496173109[[#This Row],[run 1 times]]-$S$3)/$S$3)*$T$6,2))))</f>
        <v>462.51</v>
      </c>
      <c r="N17" s="2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1.1248842592592593E-3</v>
      </c>
      <c r="O17" s="3">
        <f>IF(Table127163137496173109[[#This Row],[run2 times]]="",999.99,IF(Table127163137496173109[[#This Row],[run2 times]]=$T$3,0,MAX(0,ROUND(((Table127163137496173109[[#This Row],[run2 times]]-$T$3)/$T$3)*$T$6,2))))</f>
        <v>443.82</v>
      </c>
      <c r="P17" s="2">
        <f>IF(OR(Table127163137496173109[[#This Row],[run 1 times]]="",Table127163137496173109[[#This Row],[run2 times]]=""),"",Table127163137496173109[[#This Row],[run 1 times]]+Table127163137496173109[[#This Row],[run2 times]])</f>
        <v>2.1636574074074075E-3</v>
      </c>
      <c r="Q17" s="3">
        <f>IF(Table127163137496173109[[#This Row],[total time]]="",999.99,IF(Table127163137496173109[[#This Row],[total time]]=$U$3,0,MAX(0,ROUND(((Table127163137496173109[[#This Row],[total time]]-$U$3)/$U$3)*$T$6,2))))</f>
        <v>452.73</v>
      </c>
      <c r="W17">
        <v>3</v>
      </c>
      <c r="X17">
        <v>159</v>
      </c>
      <c r="Y17" t="s">
        <v>257</v>
      </c>
      <c r="Z17" t="s">
        <v>547</v>
      </c>
      <c r="AA17" t="s">
        <v>766</v>
      </c>
      <c r="AB17">
        <v>2011</v>
      </c>
      <c r="AC17" s="1">
        <v>56.68</v>
      </c>
      <c r="AD17" s="1">
        <v>57.04</v>
      </c>
      <c r="AE17" s="1">
        <v>1.3162037037037038E-3</v>
      </c>
      <c r="AG17">
        <v>102722</v>
      </c>
      <c r="AH17" s="2">
        <f>_xlfn.LET(_xlpm.x,Table122110193440526476112[[#This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6.5601851851851856E-4</v>
      </c>
      <c r="AI17" s="3">
        <f>IF(Table122110193440526476112[[#This Row],[run 1 times]]="",999.99,IF(Table122110193440526476112[[#This Row],[run 1 times]]=$AO$3,0,MAX(0,ROUND(((Table122110193440526476112[[#This Row],[run 1 times]]-$AO$3)/$AO$3)*$AP$6,2))))</f>
        <v>109.41</v>
      </c>
      <c r="AJ17" s="2">
        <f>_xlfn.LET(_xlpm.x,Table122110193440526476112[[#This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6.601851851851852E-4</v>
      </c>
      <c r="AK17" s="3">
        <f>IF(Table122110193440526476112[[#This Row],[run2 times]]="",999.99,IF(Table122110193440526476112[[#This Row],[run2 times]]=$AP$3,0,MAX(0,ROUND(((Table122110193440526476112[[#This Row],[run2 times]]-$AP$3)/$AP$3)*$AP$6,2))))</f>
        <v>80.900000000000006</v>
      </c>
      <c r="AL17" s="2">
        <f>IF(OR(Table122110193440526476112[[#This Row],[run 1 times]]="",Table122110193440526476112[[#This Row],[run2 times]]=""),"",Table122110193440526476112[[#This Row],[run 1 times]]+Table122110193440526476112[[#This Row],[run2 times]])</f>
        <v>1.3162037037037038E-3</v>
      </c>
      <c r="AM17" s="3">
        <f>IF(Table122110193440526476112[[#This Row],[total time]]="",999.99,IF(Table122110193440526476112[[#This Row],[total time]]=$AQ$3,0,MAX(0,ROUND(((Table122110193440526476112[[#This Row],[total time]]-$AQ$3)/$AQ$3)*$AP$6,2))))</f>
        <v>89.74</v>
      </c>
    </row>
    <row r="18" spans="1:39" x14ac:dyDescent="0.3">
      <c r="A18">
        <v>12</v>
      </c>
      <c r="B18">
        <v>68</v>
      </c>
      <c r="C18" t="s">
        <v>257</v>
      </c>
      <c r="D18" t="s">
        <v>480</v>
      </c>
      <c r="E18" t="s">
        <v>878</v>
      </c>
      <c r="F18">
        <v>2014</v>
      </c>
      <c r="G18" s="1">
        <v>8.7974537037037047E-4</v>
      </c>
      <c r="H18" s="1">
        <v>9.7118055555555553E-4</v>
      </c>
      <c r="I18" s="1">
        <v>1.850925925925926E-3</v>
      </c>
      <c r="K18">
        <v>120661</v>
      </c>
      <c r="L18" s="2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8.7974537037037047E-4</v>
      </c>
      <c r="M18" s="3">
        <f>IF(Table127163137496173109[[#This Row],[run 1 times]]="",999.99,IF(Table127163137496173109[[#This Row],[run 1 times]]=$S$3,0,MAX(0,ROUND(((Table127163137496173109[[#This Row],[run 1 times]]-$S$3)/$S$3)*$T$6,2))))</f>
        <v>237.08</v>
      </c>
      <c r="N18" s="2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9.7118055555555553E-4</v>
      </c>
      <c r="O18" s="3">
        <f>IF(Table127163137496173109[[#This Row],[run2 times]]="",999.99,IF(Table127163137496173109[[#This Row],[run2 times]]=$T$3,0,MAX(0,ROUND(((Table127163137496173109[[#This Row],[run2 times]]-$T$3)/$T$3)*$T$6,2))))</f>
        <v>245.17</v>
      </c>
      <c r="P18" s="2">
        <f>IF(OR(Table127163137496173109[[#This Row],[run 1 times]]="",Table127163137496173109[[#This Row],[run2 times]]=""),"",Table127163137496173109[[#This Row],[run 1 times]]+Table127163137496173109[[#This Row],[run2 times]])</f>
        <v>1.850925925925926E-3</v>
      </c>
      <c r="Q18" s="3">
        <f>IF(Table127163137496173109[[#This Row],[total time]]="",999.99,IF(Table127163137496173109[[#This Row],[total time]]=$U$3,0,MAX(0,ROUND(((Table127163137496173109[[#This Row],[total time]]-$U$3)/$U$3)*$T$6,2))))</f>
        <v>241.31</v>
      </c>
      <c r="W18">
        <v>2</v>
      </c>
      <c r="X18">
        <v>160</v>
      </c>
      <c r="Y18" t="s">
        <v>487</v>
      </c>
      <c r="Z18" t="s">
        <v>572</v>
      </c>
      <c r="AA18" t="s">
        <v>842</v>
      </c>
      <c r="AB18">
        <v>2009</v>
      </c>
      <c r="AC18" s="1" t="s">
        <v>512</v>
      </c>
      <c r="AD18" s="1">
        <v>53.73</v>
      </c>
      <c r="AE18" s="1"/>
      <c r="AG18">
        <v>88392</v>
      </c>
      <c r="AH18" s="2" t="str">
        <f>_xlfn.LET(_xlpm.x,Table122110193440526476112[[#This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18" s="3">
        <f>IF(Table122110193440526476112[[#This Row],[run 1 times]]="",999.99,IF(Table122110193440526476112[[#This Row],[run 1 times]]=$AO$3,0,MAX(0,ROUND(((Table122110193440526476112[[#This Row],[run 1 times]]-$AO$3)/$AO$3)*$AP$6,2))))</f>
        <v>999.99</v>
      </c>
      <c r="AJ18" s="2">
        <f>_xlfn.LET(_xlpm.x,Table122110193440526476112[[#This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6.2187499999999992E-4</v>
      </c>
      <c r="AK18" s="3">
        <f>IF(Table122110193440526476112[[#This Row],[run2 times]]="",999.99,IF(Table122110193440526476112[[#This Row],[run2 times]]=$AP$3,0,MAX(0,ROUND(((Table122110193440526476112[[#This Row],[run2 times]]-$AP$3)/$AP$3)*$AP$6,2))))</f>
        <v>17.600000000000001</v>
      </c>
      <c r="AL18" s="2" t="str">
        <f>IF(OR(Table122110193440526476112[[#This Row],[run 1 times]]="",Table122110193440526476112[[#This Row],[run2 times]]=""),"",Table122110193440526476112[[#This Row],[run 1 times]]+Table122110193440526476112[[#This Row],[run2 times]])</f>
        <v/>
      </c>
      <c r="AM18" s="3">
        <f>IF(Table122110193440526476112[[#This Row],[total time]]="",999.99,IF(Table122110193440526476112[[#This Row],[total time]]=$AQ$3,0,MAX(0,ROUND(((Table122110193440526476112[[#This Row],[total time]]-$AQ$3)/$AQ$3)*$AP$6,2))))</f>
        <v>999.99</v>
      </c>
    </row>
    <row r="19" spans="1:39" x14ac:dyDescent="0.3">
      <c r="A19">
        <v>11</v>
      </c>
      <c r="B19">
        <v>69</v>
      </c>
      <c r="C19" t="s">
        <v>257</v>
      </c>
      <c r="D19" t="s">
        <v>480</v>
      </c>
      <c r="E19" t="s">
        <v>689</v>
      </c>
      <c r="F19">
        <v>2015</v>
      </c>
      <c r="G19" s="1">
        <v>1.151736111111111E-3</v>
      </c>
      <c r="H19" s="1">
        <v>1.2289351851851853E-3</v>
      </c>
      <c r="I19" s="1">
        <v>2.3806712962962961E-3</v>
      </c>
      <c r="K19">
        <v>124075</v>
      </c>
      <c r="L19" s="2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1.151736111111111E-3</v>
      </c>
      <c r="M19" s="3">
        <f>IF(Table127163137496173109[[#This Row],[run 1 times]]="",999.99,IF(Table127163137496173109[[#This Row],[run 1 times]]=$S$3,0,MAX(0,ROUND(((Table127163137496173109[[#This Row],[run 1 times]]-$S$3)/$S$3)*$T$6,2))))</f>
        <v>622.64</v>
      </c>
      <c r="N19" s="2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1.2289351851851853E-3</v>
      </c>
      <c r="O19" s="3">
        <f>IF(Table127163137496173109[[#This Row],[run2 times]]="",999.99,IF(Table127163137496173109[[#This Row],[run2 times]]=$T$3,0,MAX(0,ROUND(((Table127163137496173109[[#This Row],[run2 times]]-$T$3)/$T$3)*$T$6,2))))</f>
        <v>578.29999999999995</v>
      </c>
      <c r="P19" s="2">
        <f>IF(OR(Table127163137496173109[[#This Row],[run 1 times]]="",Table127163137496173109[[#This Row],[run2 times]]=""),"",Table127163137496173109[[#This Row],[run 1 times]]+Table127163137496173109[[#This Row],[run2 times]])</f>
        <v>2.3806712962962965E-3</v>
      </c>
      <c r="Q19" s="3">
        <f>IF(Table127163137496173109[[#This Row],[total time]]="",999.99,IF(Table127163137496173109[[#This Row],[total time]]=$U$3,0,MAX(0,ROUND(((Table127163137496173109[[#This Row],[total time]]-$U$3)/$U$3)*$T$6,2))))</f>
        <v>599.44000000000005</v>
      </c>
      <c r="W19">
        <v>40</v>
      </c>
      <c r="X19">
        <v>162</v>
      </c>
      <c r="Y19" t="s">
        <v>223</v>
      </c>
      <c r="Z19" t="s">
        <v>572</v>
      </c>
      <c r="AA19" t="s">
        <v>756</v>
      </c>
      <c r="AB19">
        <v>2008</v>
      </c>
      <c r="AC19" s="1">
        <v>53.77</v>
      </c>
      <c r="AD19" s="1">
        <v>54.63</v>
      </c>
      <c r="AE19" s="1">
        <v>1.2546296296296296E-3</v>
      </c>
      <c r="AG19">
        <v>87549</v>
      </c>
      <c r="AH19" s="2">
        <f>_xlfn.LET(_xlpm.x,Table122110193440526476112[[#This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6.2233796296296299E-4</v>
      </c>
      <c r="AI19" s="3">
        <f>IF(Table122110193440526476112[[#This Row],[run 1 times]]="",999.99,IF(Table122110193440526476112[[#This Row],[run 1 times]]=$AO$3,0,MAX(0,ROUND(((Table122110193440526476112[[#This Row],[run 1 times]]-$AO$3)/$AO$3)*$AP$6,2))))</f>
        <v>51.94</v>
      </c>
      <c r="AJ19" s="2">
        <f>_xlfn.LET(_xlpm.x,Table122110193440526476112[[#This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6.3229166666666674E-4</v>
      </c>
      <c r="AK19" s="3">
        <f>IF(Table122110193440526476112[[#This Row],[run2 times]]="",999.99,IF(Table122110193440526476112[[#This Row],[run2 times]]=$AP$3,0,MAX(0,ROUND(((Table122110193440526476112[[#This Row],[run2 times]]-$AP$3)/$AP$3)*$AP$6,2))))</f>
        <v>34.81</v>
      </c>
      <c r="AL19" s="2">
        <f>IF(OR(Table122110193440526476112[[#This Row],[run 1 times]]="",Table122110193440526476112[[#This Row],[run2 times]]=""),"",Table122110193440526476112[[#This Row],[run 1 times]]+Table122110193440526476112[[#This Row],[run2 times]])</f>
        <v>1.2546296296296298E-3</v>
      </c>
      <c r="AM19" s="3">
        <f>IF(Table122110193440526476112[[#This Row],[total time]]="",999.99,IF(Table122110193440526476112[[#This Row],[total time]]=$AQ$3,0,MAX(0,ROUND(((Table122110193440526476112[[#This Row],[total time]]-$AQ$3)/$AQ$3)*$AP$6,2))))</f>
        <v>38.299999999999997</v>
      </c>
    </row>
    <row r="20" spans="1:39" x14ac:dyDescent="0.3">
      <c r="A20">
        <v>10</v>
      </c>
      <c r="B20">
        <v>70</v>
      </c>
      <c r="C20" t="s">
        <v>487</v>
      </c>
      <c r="D20" t="s">
        <v>480</v>
      </c>
      <c r="E20" t="s">
        <v>879</v>
      </c>
      <c r="F20">
        <v>2015</v>
      </c>
      <c r="G20" s="1">
        <v>9.8449074074074086E-4</v>
      </c>
      <c r="H20" s="1">
        <v>1.0585648148148149E-3</v>
      </c>
      <c r="I20" s="1">
        <v>2.0430555555555558E-3</v>
      </c>
      <c r="K20">
        <v>108282</v>
      </c>
      <c r="L20" s="2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9.8449074074074086E-4</v>
      </c>
      <c r="M20" s="3">
        <f>IF(Table127163137496173109[[#This Row],[run 1 times]]="",999.99,IF(Table127163137496173109[[#This Row],[run 1 times]]=$S$3,0,MAX(0,ROUND(((Table127163137496173109[[#This Row],[run 1 times]]-$S$3)/$S$3)*$T$6,2))))</f>
        <v>385.56</v>
      </c>
      <c r="N20" s="2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1.0585648148148149E-3</v>
      </c>
      <c r="O20" s="3">
        <f>IF(Table127163137496173109[[#This Row],[run2 times]]="",999.99,IF(Table127163137496173109[[#This Row],[run2 times]]=$T$3,0,MAX(0,ROUND(((Table127163137496173109[[#This Row],[run2 times]]-$T$3)/$T$3)*$T$6,2))))</f>
        <v>358.11</v>
      </c>
      <c r="P20" s="2">
        <f>IF(OR(Table127163137496173109[[#This Row],[run 1 times]]="",Table127163137496173109[[#This Row],[run2 times]]=""),"",Table127163137496173109[[#This Row],[run 1 times]]+Table127163137496173109[[#This Row],[run2 times]])</f>
        <v>2.0430555555555558E-3</v>
      </c>
      <c r="Q20" s="3">
        <f>IF(Table127163137496173109[[#This Row],[total time]]="",999.99,IF(Table127163137496173109[[#This Row],[total time]]=$U$3,0,MAX(0,ROUND(((Table127163137496173109[[#This Row],[total time]]-$U$3)/$U$3)*$T$6,2))))</f>
        <v>371.2</v>
      </c>
      <c r="W20">
        <v>39</v>
      </c>
      <c r="X20">
        <v>163</v>
      </c>
      <c r="Y20" t="s">
        <v>487</v>
      </c>
      <c r="Z20" t="s">
        <v>547</v>
      </c>
      <c r="AA20" t="s">
        <v>747</v>
      </c>
      <c r="AB20">
        <v>2011</v>
      </c>
      <c r="AC20" s="1">
        <v>7.4942129629629632E-4</v>
      </c>
      <c r="AD20" s="1">
        <v>7.4629629629629633E-4</v>
      </c>
      <c r="AE20" s="1">
        <v>1.4957175925925925E-3</v>
      </c>
      <c r="AG20">
        <v>88900</v>
      </c>
      <c r="AH20" s="2">
        <f>_xlfn.LET(_xlpm.x,Table122110193440526476112[[#This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7.4942129629629632E-4</v>
      </c>
      <c r="AI20" s="3">
        <f>IF(Table122110193440526476112[[#This Row],[run 1 times]]="",999.99,IF(Table122110193440526476112[[#This Row],[run 1 times]]=$AO$3,0,MAX(0,ROUND(((Table122110193440526476112[[#This Row],[run 1 times]]-$AO$3)/$AO$3)*$AP$6,2))))</f>
        <v>268.79000000000002</v>
      </c>
      <c r="AJ20" s="2">
        <f>_xlfn.LET(_xlpm.x,Table122110193440526476112[[#This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7.4629629629629633E-4</v>
      </c>
      <c r="AK20" s="3">
        <f>IF(Table122110193440526476112[[#This Row],[run2 times]]="",999.99,IF(Table122110193440526476112[[#This Row],[run2 times]]=$AP$3,0,MAX(0,ROUND(((Table122110193440526476112[[#This Row],[run2 times]]-$AP$3)/$AP$3)*$AP$6,2))))</f>
        <v>223.19</v>
      </c>
      <c r="AL20" s="2">
        <f>IF(OR(Table122110193440526476112[[#This Row],[run 1 times]]="",Table122110193440526476112[[#This Row],[run2 times]]=""),"",Table122110193440526476112[[#This Row],[run 1 times]]+Table122110193440526476112[[#This Row],[run2 times]])</f>
        <v>1.4957175925925928E-3</v>
      </c>
      <c r="AM20" s="3">
        <f>IF(Table122110193440526476112[[#This Row],[total time]]="",999.99,IF(Table122110193440526476112[[#This Row],[total time]]=$AQ$3,0,MAX(0,ROUND(((Table122110193440526476112[[#This Row],[total time]]-$AQ$3)/$AQ$3)*$AP$6,2))))</f>
        <v>239.73</v>
      </c>
    </row>
    <row r="21" spans="1:39" x14ac:dyDescent="0.3">
      <c r="A21">
        <v>9</v>
      </c>
      <c r="B21">
        <v>71</v>
      </c>
      <c r="C21" t="s">
        <v>479</v>
      </c>
      <c r="D21" t="s">
        <v>522</v>
      </c>
      <c r="E21" t="s">
        <v>673</v>
      </c>
      <c r="F21">
        <v>2012</v>
      </c>
      <c r="G21" s="1">
        <v>7.8738425925925927E-4</v>
      </c>
      <c r="H21" s="1">
        <v>8.5555555555555558E-4</v>
      </c>
      <c r="I21" s="1">
        <v>1.6429398148148147E-3</v>
      </c>
      <c r="K21">
        <v>108263</v>
      </c>
      <c r="L21" s="2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7.8738425925925927E-4</v>
      </c>
      <c r="M21" s="3">
        <f>IF(Table127163137496173109[[#This Row],[run 1 times]]="",999.99,IF(Table127163137496173109[[#This Row],[run 1 times]]=$S$3,0,MAX(0,ROUND(((Table127163137496173109[[#This Row],[run 1 times]]-$S$3)/$S$3)*$T$6,2))))</f>
        <v>106.15</v>
      </c>
      <c r="N21" s="2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8.5555555555555558E-4</v>
      </c>
      <c r="O21" s="3">
        <f>IF(Table127163137496173109[[#This Row],[run2 times]]="",999.99,IF(Table127163137496173109[[#This Row],[run2 times]]=$T$3,0,MAX(0,ROUND(((Table127163137496173109[[#This Row],[run2 times]]-$T$3)/$T$3)*$T$6,2))))</f>
        <v>95.73</v>
      </c>
      <c r="P21" s="2">
        <f>IF(OR(Table127163137496173109[[#This Row],[run 1 times]]="",Table127163137496173109[[#This Row],[run2 times]]=""),"",Table127163137496173109[[#This Row],[run 1 times]]+Table127163137496173109[[#This Row],[run2 times]])</f>
        <v>1.642939814814815E-3</v>
      </c>
      <c r="Q21" s="3">
        <f>IF(Table127163137496173109[[#This Row],[total time]]="",999.99,IF(Table127163137496173109[[#This Row],[total time]]=$U$3,0,MAX(0,ROUND(((Table127163137496173109[[#This Row],[total time]]-$U$3)/$U$3)*$T$6,2))))</f>
        <v>100.7</v>
      </c>
      <c r="W21">
        <v>38</v>
      </c>
      <c r="X21">
        <v>164</v>
      </c>
      <c r="Y21" t="s">
        <v>487</v>
      </c>
      <c r="Z21" t="s">
        <v>547</v>
      </c>
      <c r="AA21" t="s">
        <v>843</v>
      </c>
      <c r="AB21">
        <v>2010</v>
      </c>
      <c r="AC21" s="1">
        <v>53.68</v>
      </c>
      <c r="AD21" s="1">
        <v>53.47</v>
      </c>
      <c r="AE21" s="1">
        <v>1.240162037037037E-3</v>
      </c>
      <c r="AG21">
        <v>102417</v>
      </c>
      <c r="AH21" s="2">
        <f>_xlfn.LET(_xlpm.x,Table122110193440526476112[[#This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6.2129629629629633E-4</v>
      </c>
      <c r="AI21" s="3">
        <f>IF(Table122110193440526476112[[#This Row],[run 1 times]]="",999.99,IF(Table122110193440526476112[[#This Row],[run 1 times]]=$AO$3,0,MAX(0,ROUND(((Table122110193440526476112[[#This Row],[run 1 times]]-$AO$3)/$AO$3)*$AP$6,2))))</f>
        <v>50.16</v>
      </c>
      <c r="AJ21" s="2">
        <f>_xlfn.LET(_xlpm.x,Table122110193440526476112[[#This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6.1886574074074068E-4</v>
      </c>
      <c r="AK21" s="3">
        <f>IF(Table122110193440526476112[[#This Row],[run2 times]]="",999.99,IF(Table122110193440526476112[[#This Row],[run2 times]]=$AP$3,0,MAX(0,ROUND(((Table122110193440526476112[[#This Row],[run2 times]]-$AP$3)/$AP$3)*$AP$6,2))))</f>
        <v>12.62</v>
      </c>
      <c r="AL21" s="2">
        <f>IF(OR(Table122110193440526476112[[#This Row],[run 1 times]]="",Table122110193440526476112[[#This Row],[run2 times]]=""),"",Table122110193440526476112[[#This Row],[run 1 times]]+Table122110193440526476112[[#This Row],[run2 times]])</f>
        <v>1.240162037037037E-3</v>
      </c>
      <c r="AM21" s="3">
        <f>IF(Table122110193440526476112[[#This Row],[total time]]="",999.99,IF(Table122110193440526476112[[#This Row],[total time]]=$AQ$3,0,MAX(0,ROUND(((Table122110193440526476112[[#This Row],[total time]]-$AQ$3)/$AQ$3)*$AP$6,2))))</f>
        <v>26.21</v>
      </c>
    </row>
    <row r="22" spans="1:39" x14ac:dyDescent="0.3">
      <c r="A22">
        <v>8</v>
      </c>
      <c r="B22">
        <v>72</v>
      </c>
      <c r="C22" t="s">
        <v>257</v>
      </c>
      <c r="D22" t="s">
        <v>480</v>
      </c>
      <c r="E22" t="s">
        <v>682</v>
      </c>
      <c r="F22">
        <v>2014</v>
      </c>
      <c r="G22" s="1">
        <v>9.353009259259259E-4</v>
      </c>
      <c r="H22" s="1">
        <v>1.0109953703703702E-3</v>
      </c>
      <c r="I22" s="1">
        <v>1.9462962962962962E-3</v>
      </c>
      <c r="K22">
        <v>120809</v>
      </c>
      <c r="L22" s="2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9.353009259259259E-4</v>
      </c>
      <c r="M22" s="3">
        <f>IF(Table127163137496173109[[#This Row],[run 1 times]]="",999.99,IF(Table127163137496173109[[#This Row],[run 1 times]]=$S$3,0,MAX(0,ROUND(((Table127163137496173109[[#This Row],[run 1 times]]-$S$3)/$S$3)*$T$6,2))))</f>
        <v>315.83</v>
      </c>
      <c r="N22" s="2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1.0109953703703702E-3</v>
      </c>
      <c r="O22" s="3">
        <f>IF(Table127163137496173109[[#This Row],[run2 times]]="",999.99,IF(Table127163137496173109[[#This Row],[run2 times]]=$T$3,0,MAX(0,ROUND(((Table127163137496173109[[#This Row],[run2 times]]-$T$3)/$T$3)*$T$6,2))))</f>
        <v>296.63</v>
      </c>
      <c r="P22" s="2">
        <f>IF(OR(Table127163137496173109[[#This Row],[run 1 times]]="",Table127163137496173109[[#This Row],[run2 times]]=""),"",Table127163137496173109[[#This Row],[run 1 times]]+Table127163137496173109[[#This Row],[run2 times]])</f>
        <v>1.9462962962962962E-3</v>
      </c>
      <c r="Q22" s="3">
        <f>IF(Table127163137496173109[[#This Row],[total time]]="",999.99,IF(Table127163137496173109[[#This Row],[total time]]=$U$3,0,MAX(0,ROUND(((Table127163137496173109[[#This Row],[total time]]-$U$3)/$U$3)*$T$6,2))))</f>
        <v>305.79000000000002</v>
      </c>
      <c r="W22">
        <v>36</v>
      </c>
      <c r="X22">
        <v>166</v>
      </c>
      <c r="Y22" t="s">
        <v>373</v>
      </c>
      <c r="Z22" t="s">
        <v>547</v>
      </c>
      <c r="AA22" t="s">
        <v>758</v>
      </c>
      <c r="AB22">
        <v>2011</v>
      </c>
      <c r="AC22" s="1" t="s">
        <v>512</v>
      </c>
      <c r="AD22" s="1">
        <v>57.97</v>
      </c>
      <c r="AE22" s="1"/>
      <c r="AG22">
        <v>94814</v>
      </c>
      <c r="AH22" s="2" t="str">
        <f>_xlfn.LET(_xlpm.x,Table122110193440526476112[[#This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22" s="3">
        <f>IF(Table122110193440526476112[[#This Row],[run 1 times]]="",999.99,IF(Table122110193440526476112[[#This Row],[run 1 times]]=$AO$3,0,MAX(0,ROUND(((Table122110193440526476112[[#This Row],[run 1 times]]-$AO$3)/$AO$3)*$AP$6,2))))</f>
        <v>999.99</v>
      </c>
      <c r="AJ22" s="2">
        <f>_xlfn.LET(_xlpm.x,Table122110193440526476112[[#This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6.7094907407407403E-4</v>
      </c>
      <c r="AK22" s="3">
        <f>IF(Table122110193440526476112[[#This Row],[run2 times]]="",999.99,IF(Table122110193440526476112[[#This Row],[run2 times]]=$AP$3,0,MAX(0,ROUND(((Table122110193440526476112[[#This Row],[run2 times]]-$AP$3)/$AP$3)*$AP$6,2))))</f>
        <v>98.69</v>
      </c>
      <c r="AL22" s="2" t="str">
        <f>IF(OR(Table122110193440526476112[[#This Row],[run 1 times]]="",Table122110193440526476112[[#This Row],[run2 times]]=""),"",Table122110193440526476112[[#This Row],[run 1 times]]+Table122110193440526476112[[#This Row],[run2 times]])</f>
        <v/>
      </c>
      <c r="AM22" s="3">
        <f>IF(Table122110193440526476112[[#This Row],[total time]]="",999.99,IF(Table122110193440526476112[[#This Row],[total time]]=$AQ$3,0,MAX(0,ROUND(((Table122110193440526476112[[#This Row],[total time]]-$AQ$3)/$AQ$3)*$AP$6,2))))</f>
        <v>999.99</v>
      </c>
    </row>
    <row r="23" spans="1:39" x14ac:dyDescent="0.3">
      <c r="A23">
        <v>7</v>
      </c>
      <c r="B23">
        <v>74</v>
      </c>
      <c r="C23" t="s">
        <v>257</v>
      </c>
      <c r="D23" t="s">
        <v>480</v>
      </c>
      <c r="E23" t="s">
        <v>880</v>
      </c>
      <c r="F23">
        <v>2015</v>
      </c>
      <c r="G23" s="1" t="s">
        <v>512</v>
      </c>
      <c r="H23" s="1">
        <v>1.113773148148148E-3</v>
      </c>
      <c r="I23" s="1"/>
      <c r="K23">
        <v>124081</v>
      </c>
      <c r="L23" s="2" t="str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23" s="3">
        <f>IF(Table127163137496173109[[#This Row],[run 1 times]]="",999.99,IF(Table127163137496173109[[#This Row],[run 1 times]]=$S$3,0,MAX(0,ROUND(((Table127163137496173109[[#This Row],[run 1 times]]-$S$3)/$S$3)*$T$6,2))))</f>
        <v>999.99</v>
      </c>
      <c r="N23" s="2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1.113773148148148E-3</v>
      </c>
      <c r="O23" s="3">
        <f>IF(Table127163137496173109[[#This Row],[run2 times]]="",999.99,IF(Table127163137496173109[[#This Row],[run2 times]]=$T$3,0,MAX(0,ROUND(((Table127163137496173109[[#This Row],[run2 times]]-$T$3)/$T$3)*$T$6,2))))</f>
        <v>429.46</v>
      </c>
      <c r="P23" s="2" t="str">
        <f>IF(OR(Table127163137496173109[[#This Row],[run 1 times]]="",Table127163137496173109[[#This Row],[run2 times]]=""),"",Table127163137496173109[[#This Row],[run 1 times]]+Table127163137496173109[[#This Row],[run2 times]])</f>
        <v/>
      </c>
      <c r="Q23" s="3">
        <f>IF(Table127163137496173109[[#This Row],[total time]]="",999.99,IF(Table127163137496173109[[#This Row],[total time]]=$U$3,0,MAX(0,ROUND(((Table127163137496173109[[#This Row],[total time]]-$U$3)/$U$3)*$T$6,2))))</f>
        <v>999.99</v>
      </c>
      <c r="W23">
        <v>34</v>
      </c>
      <c r="X23">
        <v>168</v>
      </c>
      <c r="Y23" t="s">
        <v>487</v>
      </c>
      <c r="Z23" t="s">
        <v>572</v>
      </c>
      <c r="AA23" t="s">
        <v>844</v>
      </c>
      <c r="AB23">
        <v>2008</v>
      </c>
      <c r="AC23" s="1">
        <v>53.37</v>
      </c>
      <c r="AD23" s="1">
        <v>54.67</v>
      </c>
      <c r="AE23" s="1">
        <v>1.2504629629629628E-3</v>
      </c>
      <c r="AG23">
        <v>82356</v>
      </c>
      <c r="AH23" s="2">
        <f>_xlfn.LET(_xlpm.x,Table122110193440526476112[[#This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6.1770833333333328E-4</v>
      </c>
      <c r="AI23" s="3">
        <f>IF(Table122110193440526476112[[#This Row],[run 1 times]]="",999.99,IF(Table122110193440526476112[[#This Row],[run 1 times]]=$AO$3,0,MAX(0,ROUND(((Table122110193440526476112[[#This Row],[run 1 times]]-$AO$3)/$AO$3)*$AP$6,2))))</f>
        <v>44.04</v>
      </c>
      <c r="AJ23" s="2">
        <f>_xlfn.LET(_xlpm.x,Table122110193440526476112[[#This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6.327546296296296E-4</v>
      </c>
      <c r="AK23" s="3">
        <f>IF(Table122110193440526476112[[#This Row],[run2 times]]="",999.99,IF(Table122110193440526476112[[#This Row],[run2 times]]=$AP$3,0,MAX(0,ROUND(((Table122110193440526476112[[#This Row],[run2 times]]-$AP$3)/$AP$3)*$AP$6,2))))</f>
        <v>35.57</v>
      </c>
      <c r="AL23" s="2">
        <f>IF(OR(Table122110193440526476112[[#This Row],[run 1 times]]="",Table122110193440526476112[[#This Row],[run2 times]]=""),"",Table122110193440526476112[[#This Row],[run 1 times]]+Table122110193440526476112[[#This Row],[run2 times]])</f>
        <v>1.2504629629629628E-3</v>
      </c>
      <c r="AM23" s="3">
        <f>IF(Table122110193440526476112[[#This Row],[total time]]="",999.99,IF(Table122110193440526476112[[#This Row],[total time]]=$AQ$3,0,MAX(0,ROUND(((Table122110193440526476112[[#This Row],[total time]]-$AQ$3)/$AQ$3)*$AP$6,2))))</f>
        <v>34.81</v>
      </c>
    </row>
    <row r="24" spans="1:39" x14ac:dyDescent="0.3">
      <c r="A24">
        <v>6</v>
      </c>
      <c r="B24">
        <v>75</v>
      </c>
      <c r="C24" t="s">
        <v>487</v>
      </c>
      <c r="D24" t="s">
        <v>522</v>
      </c>
      <c r="E24" t="s">
        <v>697</v>
      </c>
      <c r="F24">
        <v>2013</v>
      </c>
      <c r="G24" s="1">
        <v>8.7175925925925919E-4</v>
      </c>
      <c r="H24" s="1" t="s">
        <v>512</v>
      </c>
      <c r="I24" s="1"/>
      <c r="K24">
        <v>121019</v>
      </c>
      <c r="L24" s="2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8.7175925925925919E-4</v>
      </c>
      <c r="M24" s="3">
        <f>IF(Table127163137496173109[[#This Row],[run 1 times]]="",999.99,IF(Table127163137496173109[[#This Row],[run 1 times]]=$S$3,0,MAX(0,ROUND(((Table127163137496173109[[#This Row],[run 1 times]]-$S$3)/$S$3)*$T$6,2))))</f>
        <v>225.76</v>
      </c>
      <c r="N24" s="2" t="str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24" s="3">
        <f>IF(Table127163137496173109[[#This Row],[run2 times]]="",999.99,IF(Table127163137496173109[[#This Row],[run2 times]]=$T$3,0,MAX(0,ROUND(((Table127163137496173109[[#This Row],[run2 times]]-$T$3)/$T$3)*$T$6,2))))</f>
        <v>999.99</v>
      </c>
      <c r="P24" s="2" t="str">
        <f>IF(OR(Table127163137496173109[[#This Row],[run 1 times]]="",Table127163137496173109[[#This Row],[run2 times]]=""),"",Table127163137496173109[[#This Row],[run 1 times]]+Table127163137496173109[[#This Row],[run2 times]])</f>
        <v/>
      </c>
      <c r="Q24" s="3">
        <f>IF(Table127163137496173109[[#This Row],[total time]]="",999.99,IF(Table127163137496173109[[#This Row],[total time]]=$U$3,0,MAX(0,ROUND(((Table127163137496173109[[#This Row],[total time]]-$U$3)/$U$3)*$T$6,2))))</f>
        <v>999.99</v>
      </c>
      <c r="W24">
        <v>33</v>
      </c>
      <c r="X24">
        <v>169</v>
      </c>
      <c r="Y24" t="s">
        <v>257</v>
      </c>
      <c r="Z24" t="s">
        <v>547</v>
      </c>
      <c r="AA24" t="s">
        <v>741</v>
      </c>
      <c r="AB24">
        <v>2010</v>
      </c>
      <c r="AC24" s="1">
        <v>7.1979166666666665E-4</v>
      </c>
      <c r="AD24" s="1">
        <v>7.2129629629629627E-4</v>
      </c>
      <c r="AE24" s="1">
        <v>1.441087962962963E-3</v>
      </c>
      <c r="AG24">
        <v>102719</v>
      </c>
      <c r="AH24" s="2">
        <f>_xlfn.LET(_xlpm.x,Table122110193440526476112[[#This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7.1979166666666665E-4</v>
      </c>
      <c r="AI24" s="3">
        <f>IF(Table122110193440526476112[[#This Row],[run 1 times]]="",999.99,IF(Table122110193440526476112[[#This Row],[run 1 times]]=$AO$3,0,MAX(0,ROUND(((Table122110193440526476112[[#This Row],[run 1 times]]-$AO$3)/$AO$3)*$AP$6,2))))</f>
        <v>218.23</v>
      </c>
      <c r="AJ24" s="2">
        <f>_xlfn.LET(_xlpm.x,Table122110193440526476112[[#This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7.2129629629629627E-4</v>
      </c>
      <c r="AK24" s="3">
        <f>IF(Table122110193440526476112[[#This Row],[run2 times]]="",999.99,IF(Table122110193440526476112[[#This Row],[run2 times]]=$AP$3,0,MAX(0,ROUND(((Table122110193440526476112[[#This Row],[run2 times]]-$AP$3)/$AP$3)*$AP$6,2))))</f>
        <v>181.88</v>
      </c>
      <c r="AL24" s="2">
        <f>IF(OR(Table122110193440526476112[[#This Row],[run 1 times]]="",Table122110193440526476112[[#This Row],[run2 times]]=""),"",Table122110193440526476112[[#This Row],[run 1 times]]+Table122110193440526476112[[#This Row],[run2 times]])</f>
        <v>1.441087962962963E-3</v>
      </c>
      <c r="AM24" s="3">
        <f>IF(Table122110193440526476112[[#This Row],[total time]]="",999.99,IF(Table122110193440526476112[[#This Row],[total time]]=$AQ$3,0,MAX(0,ROUND(((Table122110193440526476112[[#This Row],[total time]]-$AQ$3)/$AQ$3)*$AP$6,2))))</f>
        <v>194.09</v>
      </c>
    </row>
    <row r="25" spans="1:39" x14ac:dyDescent="0.3">
      <c r="A25">
        <v>2</v>
      </c>
      <c r="B25">
        <v>79</v>
      </c>
      <c r="C25" t="s">
        <v>487</v>
      </c>
      <c r="D25" t="s">
        <v>480</v>
      </c>
      <c r="E25" t="s">
        <v>881</v>
      </c>
      <c r="F25">
        <v>2014</v>
      </c>
      <c r="G25" s="1">
        <v>1.0155092592592592E-3</v>
      </c>
      <c r="H25" s="1">
        <v>1.1265046296296296E-3</v>
      </c>
      <c r="I25" s="1">
        <v>2.1420138888888886E-3</v>
      </c>
      <c r="K25">
        <v>121024</v>
      </c>
      <c r="L25" s="2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1.0155092592592592E-3</v>
      </c>
      <c r="M25" s="3">
        <f>IF(Table127163137496173109[[#This Row],[run 1 times]]="",999.99,IF(Table127163137496173109[[#This Row],[run 1 times]]=$S$3,0,MAX(0,ROUND(((Table127163137496173109[[#This Row],[run 1 times]]-$S$3)/$S$3)*$T$6,2))))</f>
        <v>429.53</v>
      </c>
      <c r="N25" s="2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1.1265046296296296E-3</v>
      </c>
      <c r="O25" s="3">
        <f>IF(Table127163137496173109[[#This Row],[run2 times]]="",999.99,IF(Table127163137496173109[[#This Row],[run2 times]]=$T$3,0,MAX(0,ROUND(((Table127163137496173109[[#This Row],[run2 times]]-$T$3)/$T$3)*$T$6,2))))</f>
        <v>445.91</v>
      </c>
      <c r="P25" s="2">
        <f>IF(OR(Table127163137496173109[[#This Row],[run 1 times]]="",Table127163137496173109[[#This Row],[run2 times]]=""),"",Table127163137496173109[[#This Row],[run 1 times]]+Table127163137496173109[[#This Row],[run2 times]])</f>
        <v>2.1420138888888886E-3</v>
      </c>
      <c r="Q25" s="3">
        <f>IF(Table127163137496173109[[#This Row],[total time]]="",999.99,IF(Table127163137496173109[[#This Row],[total time]]=$U$3,0,MAX(0,ROUND(((Table127163137496173109[[#This Row],[total time]]-$U$3)/$U$3)*$T$6,2))))</f>
        <v>438.1</v>
      </c>
      <c r="W25">
        <v>32</v>
      </c>
      <c r="X25">
        <v>170</v>
      </c>
      <c r="Y25" t="s">
        <v>479</v>
      </c>
      <c r="Z25" t="s">
        <v>572</v>
      </c>
      <c r="AA25" t="s">
        <v>752</v>
      </c>
      <c r="AB25">
        <v>2009</v>
      </c>
      <c r="AC25" s="1">
        <v>55.44</v>
      </c>
      <c r="AD25" s="1">
        <v>55.9</v>
      </c>
      <c r="AE25" s="1">
        <v>1.2886574074074074E-3</v>
      </c>
      <c r="AG25">
        <v>110039</v>
      </c>
      <c r="AH25" s="2">
        <f>_xlfn.LET(_xlpm.x,Table122110193440526476112[[#This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6.4166666666666669E-4</v>
      </c>
      <c r="AI25" s="3">
        <f>IF(Table122110193440526476112[[#This Row],[run 1 times]]="",999.99,IF(Table122110193440526476112[[#This Row],[run 1 times]]=$AO$3,0,MAX(0,ROUND(((Table122110193440526476112[[#This Row],[run 1 times]]-$AO$3)/$AO$3)*$AP$6,2))))</f>
        <v>84.92</v>
      </c>
      <c r="AJ25" s="2">
        <f>_xlfn.LET(_xlpm.x,Table122110193440526476112[[#This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6.4699074074074073E-4</v>
      </c>
      <c r="AK25" s="3">
        <f>IF(Table122110193440526476112[[#This Row],[run2 times]]="",999.99,IF(Table122110193440526476112[[#This Row],[run2 times]]=$AP$3,0,MAX(0,ROUND(((Table122110193440526476112[[#This Row],[run2 times]]-$AP$3)/$AP$3)*$AP$6,2))))</f>
        <v>59.1</v>
      </c>
      <c r="AL25" s="2">
        <f>IF(OR(Table122110193440526476112[[#This Row],[run 1 times]]="",Table122110193440526476112[[#This Row],[run2 times]]=""),"",Table122110193440526476112[[#This Row],[run 1 times]]+Table122110193440526476112[[#This Row],[run2 times]])</f>
        <v>1.2886574074074074E-3</v>
      </c>
      <c r="AM25" s="3">
        <f>IF(Table122110193440526476112[[#This Row],[total time]]="",999.99,IF(Table122110193440526476112[[#This Row],[total time]]=$AQ$3,0,MAX(0,ROUND(((Table122110193440526476112[[#This Row],[total time]]-$AQ$3)/$AQ$3)*$AP$6,2))))</f>
        <v>66.73</v>
      </c>
    </row>
    <row r="26" spans="1:39" x14ac:dyDescent="0.3">
      <c r="A26">
        <v>1</v>
      </c>
      <c r="B26">
        <v>80</v>
      </c>
      <c r="C26" t="s">
        <v>479</v>
      </c>
      <c r="D26" t="s">
        <v>522</v>
      </c>
      <c r="E26" t="s">
        <v>678</v>
      </c>
      <c r="F26">
        <v>2012</v>
      </c>
      <c r="G26" s="1">
        <v>8.6805555555555551E-4</v>
      </c>
      <c r="H26" s="1">
        <v>9.6990740740740739E-4</v>
      </c>
      <c r="I26" s="1">
        <v>1.8379629629629631E-3</v>
      </c>
      <c r="K26">
        <v>108194</v>
      </c>
      <c r="L26" s="2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8.6805555555555551E-4</v>
      </c>
      <c r="M26" s="3">
        <f>IF(Table127163137496173109[[#This Row],[run 1 times]]="",999.99,IF(Table127163137496173109[[#This Row],[run 1 times]]=$S$3,0,MAX(0,ROUND(((Table127163137496173109[[#This Row],[run 1 times]]-$S$3)/$S$3)*$T$6,2))))</f>
        <v>220.51</v>
      </c>
      <c r="N26" s="2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9.6990740740740739E-4</v>
      </c>
      <c r="O26" s="3">
        <f>IF(Table127163137496173109[[#This Row],[run2 times]]="",999.99,IF(Table127163137496173109[[#This Row],[run2 times]]=$T$3,0,MAX(0,ROUND(((Table127163137496173109[[#This Row],[run2 times]]-$T$3)/$T$3)*$T$6,2))))</f>
        <v>243.52</v>
      </c>
      <c r="P26" s="2">
        <f>IF(OR(Table127163137496173109[[#This Row],[run 1 times]]="",Table127163137496173109[[#This Row],[run2 times]]=""),"",Table127163137496173109[[#This Row],[run 1 times]]+Table127163137496173109[[#This Row],[run2 times]])</f>
        <v>1.8379629629629629E-3</v>
      </c>
      <c r="Q26" s="3">
        <f>IF(Table127163137496173109[[#This Row],[total time]]="",999.99,IF(Table127163137496173109[[#This Row],[total time]]=$U$3,0,MAX(0,ROUND(((Table127163137496173109[[#This Row],[total time]]-$U$3)/$U$3)*$T$6,2))))</f>
        <v>232.55</v>
      </c>
      <c r="W26">
        <v>31</v>
      </c>
      <c r="X26">
        <v>171</v>
      </c>
      <c r="Y26" t="s">
        <v>257</v>
      </c>
      <c r="Z26" t="s">
        <v>547</v>
      </c>
      <c r="AA26" t="s">
        <v>767</v>
      </c>
      <c r="AB26">
        <v>2010</v>
      </c>
      <c r="AC26" s="1">
        <v>55.35</v>
      </c>
      <c r="AD26" s="1">
        <v>55.65</v>
      </c>
      <c r="AE26" s="1">
        <v>1.2847222222222223E-3</v>
      </c>
      <c r="AG26">
        <v>106380</v>
      </c>
      <c r="AH26" s="2">
        <f>_xlfn.LET(_xlpm.x,Table122110193440526476112[[#This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6.4062500000000003E-4</v>
      </c>
      <c r="AI26" s="3">
        <f>IF(Table122110193440526476112[[#This Row],[run 1 times]]="",999.99,IF(Table122110193440526476112[[#This Row],[run 1 times]]=$AO$3,0,MAX(0,ROUND(((Table122110193440526476112[[#This Row],[run 1 times]]-$AO$3)/$AO$3)*$AP$6,2))))</f>
        <v>83.15</v>
      </c>
      <c r="AJ26" s="2">
        <f>_xlfn.LET(_xlpm.x,Table122110193440526476112[[#This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6.4409722222222223E-4</v>
      </c>
      <c r="AK26" s="3">
        <f>IF(Table122110193440526476112[[#This Row],[run2 times]]="",999.99,IF(Table122110193440526476112[[#This Row],[run2 times]]=$AP$3,0,MAX(0,ROUND(((Table122110193440526476112[[#This Row],[run2 times]]-$AP$3)/$AP$3)*$AP$6,2))))</f>
        <v>54.32</v>
      </c>
      <c r="AL26" s="2">
        <f>IF(OR(Table122110193440526476112[[#This Row],[run 1 times]]="",Table122110193440526476112[[#This Row],[run2 times]]=""),"",Table122110193440526476112[[#This Row],[run 1 times]]+Table122110193440526476112[[#This Row],[run2 times]])</f>
        <v>1.2847222222222223E-3</v>
      </c>
      <c r="AM26" s="3">
        <f>IF(Table122110193440526476112[[#This Row],[total time]]="",999.99,IF(Table122110193440526476112[[#This Row],[total time]]=$AQ$3,0,MAX(0,ROUND(((Table122110193440526476112[[#This Row],[total time]]-$AQ$3)/$AQ$3)*$AP$6,2))))</f>
        <v>63.44</v>
      </c>
    </row>
    <row r="27" spans="1:39" x14ac:dyDescent="0.3">
      <c r="A27">
        <v>50</v>
      </c>
      <c r="B27">
        <v>81</v>
      </c>
      <c r="C27" t="s">
        <v>882</v>
      </c>
      <c r="D27" t="s">
        <v>522</v>
      </c>
      <c r="E27" t="s">
        <v>883</v>
      </c>
      <c r="F27">
        <v>2012</v>
      </c>
      <c r="G27" s="1">
        <v>8.0439814814814816E-4</v>
      </c>
      <c r="H27" s="1">
        <v>8.9652777777777788E-4</v>
      </c>
      <c r="I27" s="1">
        <v>1.700925925925926E-3</v>
      </c>
      <c r="K27">
        <v>113772</v>
      </c>
      <c r="L27" s="2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8.0439814814814816E-4</v>
      </c>
      <c r="M27" s="3">
        <f>IF(Table127163137496173109[[#This Row],[run 1 times]]="",999.99,IF(Table127163137496173109[[#This Row],[run 1 times]]=$S$3,0,MAX(0,ROUND(((Table127163137496173109[[#This Row],[run 1 times]]-$S$3)/$S$3)*$T$6,2))))</f>
        <v>130.27000000000001</v>
      </c>
      <c r="N27" s="2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8.9652777777777788E-4</v>
      </c>
      <c r="O27" s="3">
        <f>IF(Table127163137496173109[[#This Row],[run2 times]]="",999.99,IF(Table127163137496173109[[#This Row],[run2 times]]=$T$3,0,MAX(0,ROUND(((Table127163137496173109[[#This Row],[run2 times]]-$T$3)/$T$3)*$T$6,2))))</f>
        <v>148.69</v>
      </c>
      <c r="P27" s="2">
        <f>IF(OR(Table127163137496173109[[#This Row],[run 1 times]]="",Table127163137496173109[[#This Row],[run2 times]]=""),"",Table127163137496173109[[#This Row],[run 1 times]]+Table127163137496173109[[#This Row],[run2 times]])</f>
        <v>1.700925925925926E-3</v>
      </c>
      <c r="Q27" s="3">
        <f>IF(Table127163137496173109[[#This Row],[total time]]="",999.99,IF(Table127163137496173109[[#This Row],[total time]]=$U$3,0,MAX(0,ROUND(((Table127163137496173109[[#This Row],[total time]]-$U$3)/$U$3)*$T$6,2))))</f>
        <v>139.9</v>
      </c>
      <c r="W27">
        <v>30</v>
      </c>
      <c r="X27">
        <v>172</v>
      </c>
      <c r="Y27" t="s">
        <v>479</v>
      </c>
      <c r="Z27" t="s">
        <v>572</v>
      </c>
      <c r="AA27" t="s">
        <v>765</v>
      </c>
      <c r="AB27">
        <v>2009</v>
      </c>
      <c r="AC27" s="1" t="s">
        <v>512</v>
      </c>
      <c r="AD27" s="1">
        <v>52.81</v>
      </c>
      <c r="AE27" s="1"/>
      <c r="AG27">
        <v>87824</v>
      </c>
      <c r="AH27" s="2" t="str">
        <f>_xlfn.LET(_xlpm.x,Table122110193440526476112[[#This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27" s="3">
        <f>IF(Table122110193440526476112[[#This Row],[run 1 times]]="",999.99,IF(Table122110193440526476112[[#This Row],[run 1 times]]=$AO$3,0,MAX(0,ROUND(((Table122110193440526476112[[#This Row],[run 1 times]]-$AO$3)/$AO$3)*$AP$6,2))))</f>
        <v>999.99</v>
      </c>
      <c r="AJ27" s="2">
        <f>_xlfn.LET(_xlpm.x,Table122110193440526476112[[#This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6.1122685185185184E-4</v>
      </c>
      <c r="AK27" s="3">
        <f>IF(Table122110193440526476112[[#This Row],[run2 times]]="",999.99,IF(Table122110193440526476112[[#This Row],[run2 times]]=$AP$3,0,MAX(0,ROUND(((Table122110193440526476112[[#This Row],[run2 times]]-$AP$3)/$AP$3)*$AP$6,2))))</f>
        <v>0</v>
      </c>
      <c r="AL27" s="2" t="str">
        <f>IF(OR(Table122110193440526476112[[#This Row],[run 1 times]]="",Table122110193440526476112[[#This Row],[run2 times]]=""),"",Table122110193440526476112[[#This Row],[run 1 times]]+Table122110193440526476112[[#This Row],[run2 times]])</f>
        <v/>
      </c>
      <c r="AM27" s="3">
        <f>IF(Table122110193440526476112[[#This Row],[total time]]="",999.99,IF(Table122110193440526476112[[#This Row],[total time]]=$AQ$3,0,MAX(0,ROUND(((Table122110193440526476112[[#This Row],[total time]]-$AQ$3)/$AQ$3)*$AP$6,2))))</f>
        <v>999.99</v>
      </c>
    </row>
    <row r="28" spans="1:39" x14ac:dyDescent="0.3">
      <c r="A28">
        <v>49</v>
      </c>
      <c r="B28">
        <v>82</v>
      </c>
      <c r="C28" t="s">
        <v>487</v>
      </c>
      <c r="D28" t="s">
        <v>480</v>
      </c>
      <c r="E28" t="s">
        <v>701</v>
      </c>
      <c r="F28">
        <v>2015</v>
      </c>
      <c r="G28" s="1" t="s">
        <v>512</v>
      </c>
      <c r="H28" s="1">
        <v>1.1706018518518519E-3</v>
      </c>
      <c r="I28" s="1"/>
      <c r="K28">
        <v>122281</v>
      </c>
      <c r="L28" s="2" t="str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28" s="3">
        <f>IF(Table127163137496173109[[#This Row],[run 1 times]]="",999.99,IF(Table127163137496173109[[#This Row],[run 1 times]]=$S$3,0,MAX(0,ROUND(((Table127163137496173109[[#This Row],[run 1 times]]-$S$3)/$S$3)*$T$6,2))))</f>
        <v>999.99</v>
      </c>
      <c r="N28" s="2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1.1706018518518519E-3</v>
      </c>
      <c r="O28" s="3">
        <f>IF(Table127163137496173109[[#This Row],[run2 times]]="",999.99,IF(Table127163137496173109[[#This Row],[run2 times]]=$T$3,0,MAX(0,ROUND(((Table127163137496173109[[#This Row],[run2 times]]-$T$3)/$T$3)*$T$6,2))))</f>
        <v>502.91</v>
      </c>
      <c r="P28" s="2" t="str">
        <f>IF(OR(Table127163137496173109[[#This Row],[run 1 times]]="",Table127163137496173109[[#This Row],[run2 times]]=""),"",Table127163137496173109[[#This Row],[run 1 times]]+Table127163137496173109[[#This Row],[run2 times]])</f>
        <v/>
      </c>
      <c r="Q28" s="3">
        <f>IF(Table127163137496173109[[#This Row],[total time]]="",999.99,IF(Table127163137496173109[[#This Row],[total time]]=$U$3,0,MAX(0,ROUND(((Table127163137496173109[[#This Row],[total time]]-$U$3)/$U$3)*$T$6,2))))</f>
        <v>999.99</v>
      </c>
      <c r="W28">
        <v>29</v>
      </c>
      <c r="X28">
        <v>173</v>
      </c>
      <c r="Y28" t="s">
        <v>24</v>
      </c>
      <c r="Z28" t="s">
        <v>547</v>
      </c>
      <c r="AA28" t="s">
        <v>742</v>
      </c>
      <c r="AB28">
        <v>2010</v>
      </c>
      <c r="AC28" s="1">
        <v>54.06</v>
      </c>
      <c r="AD28" s="1">
        <v>55.15</v>
      </c>
      <c r="AE28" s="1">
        <v>1.2640046296296297E-3</v>
      </c>
      <c r="AG28">
        <v>89651</v>
      </c>
      <c r="AH28" s="2">
        <f>_xlfn.LET(_xlpm.x,Table122110193440526476112[[#This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6.2569444444444445E-4</v>
      </c>
      <c r="AI28" s="3">
        <f>IF(Table122110193440526476112[[#This Row],[run 1 times]]="",999.99,IF(Table122110193440526476112[[#This Row],[run 1 times]]=$AO$3,0,MAX(0,ROUND(((Table122110193440526476112[[#This Row],[run 1 times]]-$AO$3)/$AO$3)*$AP$6,2))))</f>
        <v>57.67</v>
      </c>
      <c r="AJ28" s="2">
        <f>_xlfn.LET(_xlpm.x,Table122110193440526476112[[#This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6.3831018518518512E-4</v>
      </c>
      <c r="AK28" s="3">
        <f>IF(Table122110193440526476112[[#This Row],[run2 times]]="",999.99,IF(Table122110193440526476112[[#This Row],[run2 times]]=$AP$3,0,MAX(0,ROUND(((Table122110193440526476112[[#This Row],[run2 times]]-$AP$3)/$AP$3)*$AP$6,2))))</f>
        <v>44.75</v>
      </c>
      <c r="AL28" s="2">
        <f>IF(OR(Table122110193440526476112[[#This Row],[run 1 times]]="",Table122110193440526476112[[#This Row],[run2 times]]=""),"",Table122110193440526476112[[#This Row],[run 1 times]]+Table122110193440526476112[[#This Row],[run2 times]])</f>
        <v>1.2640046296296297E-3</v>
      </c>
      <c r="AM28" s="3">
        <f>IF(Table122110193440526476112[[#This Row],[total time]]="",999.99,IF(Table122110193440526476112[[#This Row],[total time]]=$AQ$3,0,MAX(0,ROUND(((Table122110193440526476112[[#This Row],[total time]]-$AQ$3)/$AQ$3)*$AP$6,2))))</f>
        <v>46.13</v>
      </c>
    </row>
    <row r="29" spans="1:39" x14ac:dyDescent="0.3">
      <c r="A29">
        <v>47</v>
      </c>
      <c r="B29">
        <v>84</v>
      </c>
      <c r="C29" t="s">
        <v>223</v>
      </c>
      <c r="D29" t="s">
        <v>480</v>
      </c>
      <c r="E29" t="s">
        <v>707</v>
      </c>
      <c r="F29">
        <v>2014</v>
      </c>
      <c r="G29" s="1">
        <v>8.8692129629629624E-4</v>
      </c>
      <c r="H29" s="1">
        <v>9.4317129629629623E-4</v>
      </c>
      <c r="I29" s="1">
        <v>1.8300925925925926E-3</v>
      </c>
      <c r="K29">
        <v>115872</v>
      </c>
      <c r="L29" s="2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8.8692129629629624E-4</v>
      </c>
      <c r="M29" s="3">
        <f>IF(Table127163137496173109[[#This Row],[run 1 times]]="",999.99,IF(Table127163137496173109[[#This Row],[run 1 times]]=$S$3,0,MAX(0,ROUND(((Table127163137496173109[[#This Row],[run 1 times]]-$S$3)/$S$3)*$T$6,2))))</f>
        <v>247.25</v>
      </c>
      <c r="N29" s="2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9.4317129629629623E-4</v>
      </c>
      <c r="O29" s="3">
        <f>IF(Table127163137496173109[[#This Row],[run2 times]]="",999.99,IF(Table127163137496173109[[#This Row],[run2 times]]=$T$3,0,MAX(0,ROUND(((Table127163137496173109[[#This Row],[run2 times]]-$T$3)/$T$3)*$T$6,2))))</f>
        <v>208.97</v>
      </c>
      <c r="P29" s="2">
        <f>IF(OR(Table127163137496173109[[#This Row],[run 1 times]]="",Table127163137496173109[[#This Row],[run2 times]]=""),"",Table127163137496173109[[#This Row],[run 1 times]]+Table127163137496173109[[#This Row],[run2 times]])</f>
        <v>1.8300925925925924E-3</v>
      </c>
      <c r="Q29" s="3">
        <f>IF(Table127163137496173109[[#This Row],[total time]]="",999.99,IF(Table127163137496173109[[#This Row],[total time]]=$U$3,0,MAX(0,ROUND(((Table127163137496173109[[#This Row],[total time]]-$U$3)/$U$3)*$T$6,2))))</f>
        <v>227.23</v>
      </c>
      <c r="W29">
        <v>28</v>
      </c>
      <c r="X29">
        <v>174</v>
      </c>
      <c r="Y29" t="s">
        <v>223</v>
      </c>
      <c r="Z29" t="s">
        <v>845</v>
      </c>
      <c r="AA29" t="s">
        <v>757</v>
      </c>
      <c r="AB29">
        <v>2007</v>
      </c>
      <c r="AC29" s="1">
        <v>56.56</v>
      </c>
      <c r="AD29" s="1">
        <v>57.16</v>
      </c>
      <c r="AE29" s="1">
        <v>1.3162037037037038E-3</v>
      </c>
      <c r="AG29">
        <v>126692</v>
      </c>
      <c r="AH29" s="2">
        <f>_xlfn.LET(_xlpm.x,Table122110193440526476112[[#This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6.5462962962962968E-4</v>
      </c>
      <c r="AI29" s="3">
        <f>IF(Table122110193440526476112[[#This Row],[run 1 times]]="",999.99,IF(Table122110193440526476112[[#This Row],[run 1 times]]=$AO$3,0,MAX(0,ROUND(((Table122110193440526476112[[#This Row],[run 1 times]]-$AO$3)/$AO$3)*$AP$6,2))))</f>
        <v>107.04</v>
      </c>
      <c r="AJ29" s="2">
        <f>_xlfn.LET(_xlpm.x,Table122110193440526476112[[#This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6.6157407407407408E-4</v>
      </c>
      <c r="AK29" s="3">
        <f>IF(Table122110193440526476112[[#This Row],[run2 times]]="",999.99,IF(Table122110193440526476112[[#This Row],[run2 times]]=$AP$3,0,MAX(0,ROUND(((Table122110193440526476112[[#This Row],[run2 times]]-$AP$3)/$AP$3)*$AP$6,2))))</f>
        <v>83.19</v>
      </c>
      <c r="AL29" s="2">
        <f>IF(OR(Table122110193440526476112[[#This Row],[run 1 times]]="",Table122110193440526476112[[#This Row],[run2 times]]=""),"",Table122110193440526476112[[#This Row],[run 1 times]]+Table122110193440526476112[[#This Row],[run2 times]])</f>
        <v>1.3162037037037038E-3</v>
      </c>
      <c r="AM29" s="3">
        <f>IF(Table122110193440526476112[[#This Row],[total time]]="",999.99,IF(Table122110193440526476112[[#This Row],[total time]]=$AQ$3,0,MAX(0,ROUND(((Table122110193440526476112[[#This Row],[total time]]-$AQ$3)/$AQ$3)*$AP$6,2))))</f>
        <v>89.74</v>
      </c>
    </row>
    <row r="30" spans="1:39" x14ac:dyDescent="0.3">
      <c r="A30">
        <v>46</v>
      </c>
      <c r="B30">
        <v>85</v>
      </c>
      <c r="C30" t="s">
        <v>851</v>
      </c>
      <c r="D30" t="s">
        <v>522</v>
      </c>
      <c r="E30" t="s">
        <v>884</v>
      </c>
      <c r="F30">
        <v>2012</v>
      </c>
      <c r="G30" s="1" t="s">
        <v>518</v>
      </c>
      <c r="H30" s="1">
        <v>8.0902777777777787E-4</v>
      </c>
      <c r="I30" s="1"/>
      <c r="K30">
        <v>7033184</v>
      </c>
      <c r="L30" s="2" t="str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30" s="3">
        <f>IF(Table127163137496173109[[#This Row],[run 1 times]]="",999.99,IF(Table127163137496173109[[#This Row],[run 1 times]]=$S$3,0,MAX(0,ROUND(((Table127163137496173109[[#This Row],[run 1 times]]-$S$3)/$S$3)*$T$6,2))))</f>
        <v>999.99</v>
      </c>
      <c r="N30" s="2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8.0902777777777787E-4</v>
      </c>
      <c r="O30" s="3">
        <f>IF(Table127163137496173109[[#This Row],[run2 times]]="",999.99,IF(Table127163137496173109[[#This Row],[run2 times]]=$T$3,0,MAX(0,ROUND(((Table127163137496173109[[#This Row],[run2 times]]-$T$3)/$T$3)*$T$6,2))))</f>
        <v>35.6</v>
      </c>
      <c r="P30" s="2" t="str">
        <f>IF(OR(Table127163137496173109[[#This Row],[run 1 times]]="",Table127163137496173109[[#This Row],[run2 times]]=""),"",Table127163137496173109[[#This Row],[run 1 times]]+Table127163137496173109[[#This Row],[run2 times]])</f>
        <v/>
      </c>
      <c r="Q30" s="3">
        <f>IF(Table127163137496173109[[#This Row],[total time]]="",999.99,IF(Table127163137496173109[[#This Row],[total time]]=$U$3,0,MAX(0,ROUND(((Table127163137496173109[[#This Row],[total time]]-$U$3)/$U$3)*$T$6,2))))</f>
        <v>999.99</v>
      </c>
      <c r="W30">
        <v>27</v>
      </c>
      <c r="X30">
        <v>175</v>
      </c>
      <c r="Y30" t="s">
        <v>257</v>
      </c>
      <c r="Z30" t="s">
        <v>572</v>
      </c>
      <c r="AA30" t="s">
        <v>846</v>
      </c>
      <c r="AB30">
        <v>2009</v>
      </c>
      <c r="AC30" s="1">
        <v>56.61</v>
      </c>
      <c r="AD30" s="1">
        <v>57.2</v>
      </c>
      <c r="AE30" s="1">
        <v>1.3172453703703703E-3</v>
      </c>
      <c r="AG30">
        <v>108195</v>
      </c>
      <c r="AH30" s="2">
        <f>_xlfn.LET(_xlpm.x,Table122110193440526476112[[#This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6.5520833333333338E-4</v>
      </c>
      <c r="AI30" s="3">
        <f>IF(Table122110193440526476112[[#This Row],[run 1 times]]="",999.99,IF(Table122110193440526476112[[#This Row],[run 1 times]]=$AO$3,0,MAX(0,ROUND(((Table122110193440526476112[[#This Row],[run 1 times]]-$AO$3)/$AO$3)*$AP$6,2))))</f>
        <v>108.03</v>
      </c>
      <c r="AJ30" s="2">
        <f>_xlfn.LET(_xlpm.x,Table122110193440526476112[[#This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6.6203703703703704E-4</v>
      </c>
      <c r="AK30" s="3">
        <f>IF(Table122110193440526476112[[#This Row],[run2 times]]="",999.99,IF(Table122110193440526476112[[#This Row],[run2 times]]=$AP$3,0,MAX(0,ROUND(((Table122110193440526476112[[#This Row],[run2 times]]-$AP$3)/$AP$3)*$AP$6,2))))</f>
        <v>83.96</v>
      </c>
      <c r="AL30" s="2">
        <f>IF(OR(Table122110193440526476112[[#This Row],[run 1 times]]="",Table122110193440526476112[[#This Row],[run2 times]]=""),"",Table122110193440526476112[[#This Row],[run 1 times]]+Table122110193440526476112[[#This Row],[run2 times]])</f>
        <v>1.3172453703703705E-3</v>
      </c>
      <c r="AM30" s="3">
        <f>IF(Table122110193440526476112[[#This Row],[total time]]="",999.99,IF(Table122110193440526476112[[#This Row],[total time]]=$AQ$3,0,MAX(0,ROUND(((Table122110193440526476112[[#This Row],[total time]]-$AQ$3)/$AQ$3)*$AP$6,2))))</f>
        <v>90.61</v>
      </c>
    </row>
    <row r="31" spans="1:39" x14ac:dyDescent="0.3">
      <c r="A31">
        <v>45</v>
      </c>
      <c r="B31">
        <v>86</v>
      </c>
      <c r="C31" t="s">
        <v>257</v>
      </c>
      <c r="D31" t="s">
        <v>522</v>
      </c>
      <c r="E31" t="s">
        <v>698</v>
      </c>
      <c r="F31">
        <v>2012</v>
      </c>
      <c r="G31" s="1">
        <v>8.5381944444444437E-4</v>
      </c>
      <c r="H31" s="1">
        <v>9.090277777777777E-4</v>
      </c>
      <c r="I31" s="1">
        <v>1.7628472222222223E-3</v>
      </c>
      <c r="K31">
        <v>102726</v>
      </c>
      <c r="L31" s="2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8.5381944444444437E-4</v>
      </c>
      <c r="M31" s="3">
        <f>IF(Table127163137496173109[[#This Row],[run 1 times]]="",999.99,IF(Table127163137496173109[[#This Row],[run 1 times]]=$S$3,0,MAX(0,ROUND(((Table127163137496173109[[#This Row],[run 1 times]]-$S$3)/$S$3)*$T$6,2))))</f>
        <v>200.33</v>
      </c>
      <c r="N31" s="2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9.090277777777777E-4</v>
      </c>
      <c r="O31" s="3">
        <f>IF(Table127163137496173109[[#This Row],[run2 times]]="",999.99,IF(Table127163137496173109[[#This Row],[run2 times]]=$T$3,0,MAX(0,ROUND(((Table127163137496173109[[#This Row],[run2 times]]-$T$3)/$T$3)*$T$6,2))))</f>
        <v>164.84</v>
      </c>
      <c r="P31" s="2">
        <f>IF(OR(Table127163137496173109[[#This Row],[run 1 times]]="",Table127163137496173109[[#This Row],[run2 times]]=""),"",Table127163137496173109[[#This Row],[run 1 times]]+Table127163137496173109[[#This Row],[run2 times]])</f>
        <v>1.7628472222222221E-3</v>
      </c>
      <c r="Q31" s="3">
        <f>IF(Table127163137496173109[[#This Row],[total time]]="",999.99,IF(Table127163137496173109[[#This Row],[total time]]=$U$3,0,MAX(0,ROUND(((Table127163137496173109[[#This Row],[total time]]-$U$3)/$U$3)*$T$6,2))))</f>
        <v>181.77</v>
      </c>
      <c r="W31">
        <v>26</v>
      </c>
      <c r="X31">
        <v>176</v>
      </c>
      <c r="Y31" t="s">
        <v>257</v>
      </c>
      <c r="Z31" t="s">
        <v>547</v>
      </c>
      <c r="AA31" t="s">
        <v>743</v>
      </c>
      <c r="AB31">
        <v>2011</v>
      </c>
      <c r="AC31" s="1">
        <v>7.1851851851851851E-4</v>
      </c>
      <c r="AD31" s="1">
        <v>7.2731481481481486E-4</v>
      </c>
      <c r="AE31" s="1">
        <v>1.4458333333333333E-3</v>
      </c>
      <c r="AG31">
        <v>117685</v>
      </c>
      <c r="AH31" s="2">
        <f>_xlfn.LET(_xlpm.x,Table122110193440526476112[[#This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7.1851851851851851E-4</v>
      </c>
      <c r="AI31" s="3">
        <f>IF(Table122110193440526476112[[#This Row],[run 1 times]]="",999.99,IF(Table122110193440526476112[[#This Row],[run 1 times]]=$AO$3,0,MAX(0,ROUND(((Table122110193440526476112[[#This Row],[run 1 times]]-$AO$3)/$AO$3)*$AP$6,2))))</f>
        <v>216.06</v>
      </c>
      <c r="AJ31" s="2">
        <f>_xlfn.LET(_xlpm.x,Table122110193440526476112[[#This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7.2731481481481486E-4</v>
      </c>
      <c r="AK31" s="3">
        <f>IF(Table122110193440526476112[[#This Row],[run2 times]]="",999.99,IF(Table122110193440526476112[[#This Row],[run2 times]]=$AP$3,0,MAX(0,ROUND(((Table122110193440526476112[[#This Row],[run2 times]]-$AP$3)/$AP$3)*$AP$6,2))))</f>
        <v>191.83</v>
      </c>
      <c r="AL31" s="2">
        <f>IF(OR(Table122110193440526476112[[#This Row],[run 1 times]]="",Table122110193440526476112[[#This Row],[run2 times]]=""),"",Table122110193440526476112[[#This Row],[run 1 times]]+Table122110193440526476112[[#This Row],[run2 times]])</f>
        <v>1.4458333333333333E-3</v>
      </c>
      <c r="AM31" s="3">
        <f>IF(Table122110193440526476112[[#This Row],[total time]]="",999.99,IF(Table122110193440526476112[[#This Row],[total time]]=$AQ$3,0,MAX(0,ROUND(((Table122110193440526476112[[#This Row],[total time]]-$AQ$3)/$AQ$3)*$AP$6,2))))</f>
        <v>198.05</v>
      </c>
    </row>
    <row r="32" spans="1:39" x14ac:dyDescent="0.3">
      <c r="A32">
        <v>44</v>
      </c>
      <c r="B32">
        <v>87</v>
      </c>
      <c r="C32" t="s">
        <v>257</v>
      </c>
      <c r="D32" t="s">
        <v>522</v>
      </c>
      <c r="E32" t="s">
        <v>675</v>
      </c>
      <c r="F32">
        <v>2013</v>
      </c>
      <c r="G32" s="1">
        <v>9.0752314814814808E-4</v>
      </c>
      <c r="H32" s="1">
        <v>9.6319444444444447E-4</v>
      </c>
      <c r="I32" s="1">
        <v>1.8707175925925924E-3</v>
      </c>
      <c r="K32">
        <v>117684</v>
      </c>
      <c r="L32" s="2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9.0752314814814808E-4</v>
      </c>
      <c r="M32" s="3">
        <f>IF(Table127163137496173109[[#This Row],[run 1 times]]="",999.99,IF(Table127163137496173109[[#This Row],[run 1 times]]=$S$3,0,MAX(0,ROUND(((Table127163137496173109[[#This Row],[run 1 times]]-$S$3)/$S$3)*$T$6,2))))</f>
        <v>276.45</v>
      </c>
      <c r="N32" s="2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9.6319444444444447E-4</v>
      </c>
      <c r="O32" s="3">
        <f>IF(Table127163137496173109[[#This Row],[run2 times]]="",999.99,IF(Table127163137496173109[[#This Row],[run2 times]]=$T$3,0,MAX(0,ROUND(((Table127163137496173109[[#This Row],[run2 times]]-$T$3)/$T$3)*$T$6,2))))</f>
        <v>234.85</v>
      </c>
      <c r="P32" s="2">
        <f>IF(OR(Table127163137496173109[[#This Row],[run 1 times]]="",Table127163137496173109[[#This Row],[run2 times]]=""),"",Table127163137496173109[[#This Row],[run 1 times]]+Table127163137496173109[[#This Row],[run2 times]])</f>
        <v>1.8707175925925927E-3</v>
      </c>
      <c r="Q32" s="3">
        <f>IF(Table127163137496173109[[#This Row],[total time]]="",999.99,IF(Table127163137496173109[[#This Row],[total time]]=$U$3,0,MAX(0,ROUND(((Table127163137496173109[[#This Row],[total time]]-$U$3)/$U$3)*$T$6,2))))</f>
        <v>254.69</v>
      </c>
      <c r="W32">
        <v>25</v>
      </c>
      <c r="X32">
        <v>177</v>
      </c>
      <c r="Y32" t="s">
        <v>373</v>
      </c>
      <c r="Z32" t="s">
        <v>572</v>
      </c>
      <c r="AA32" t="s">
        <v>748</v>
      </c>
      <c r="AB32">
        <v>2008</v>
      </c>
      <c r="AC32" s="1">
        <v>59.87</v>
      </c>
      <c r="AD32" s="1">
        <v>7.1574074074074075E-4</v>
      </c>
      <c r="AE32" s="1">
        <v>1.4086805555555554E-3</v>
      </c>
      <c r="AG32">
        <v>125476</v>
      </c>
      <c r="AH32" s="2">
        <f>_xlfn.LET(_xlpm.x,Table122110193440526476112[[#This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6.9293981481481474E-4</v>
      </c>
      <c r="AI32" s="3">
        <f>IF(Table122110193440526476112[[#This Row],[run 1 times]]="",999.99,IF(Table122110193440526476112[[#This Row],[run 1 times]]=$AO$3,0,MAX(0,ROUND(((Table122110193440526476112[[#This Row],[run 1 times]]-$AO$3)/$AO$3)*$AP$6,2))))</f>
        <v>172.41</v>
      </c>
      <c r="AJ32" s="2">
        <f>_xlfn.LET(_xlpm.x,Table122110193440526476112[[#This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7.1574074074074075E-4</v>
      </c>
      <c r="AK32" s="3">
        <f>IF(Table122110193440526476112[[#This Row],[run2 times]]="",999.99,IF(Table122110193440526476112[[#This Row],[run2 times]]=$AP$3,0,MAX(0,ROUND(((Table122110193440526476112[[#This Row],[run2 times]]-$AP$3)/$AP$3)*$AP$6,2))))</f>
        <v>172.7</v>
      </c>
      <c r="AL32" s="2">
        <f>IF(OR(Table122110193440526476112[[#This Row],[run 1 times]]="",Table122110193440526476112[[#This Row],[run2 times]]=""),"",Table122110193440526476112[[#This Row],[run 1 times]]+Table122110193440526476112[[#This Row],[run2 times]])</f>
        <v>1.4086805555555554E-3</v>
      </c>
      <c r="AM32" s="3">
        <f>IF(Table122110193440526476112[[#This Row],[total time]]="",999.99,IF(Table122110193440526476112[[#This Row],[total time]]=$AQ$3,0,MAX(0,ROUND(((Table122110193440526476112[[#This Row],[total time]]-$AQ$3)/$AQ$3)*$AP$6,2))))</f>
        <v>167.01</v>
      </c>
    </row>
    <row r="33" spans="1:39" x14ac:dyDescent="0.3">
      <c r="A33">
        <v>43</v>
      </c>
      <c r="B33">
        <v>88</v>
      </c>
      <c r="C33" t="s">
        <v>257</v>
      </c>
      <c r="D33" t="s">
        <v>522</v>
      </c>
      <c r="E33" t="s">
        <v>712</v>
      </c>
      <c r="F33">
        <v>2012</v>
      </c>
      <c r="G33" s="1">
        <v>8.5127314814814809E-4</v>
      </c>
      <c r="H33" s="1">
        <v>9.2407407407407412E-4</v>
      </c>
      <c r="I33" s="1">
        <v>1.775347222222222E-3</v>
      </c>
      <c r="K33">
        <v>117686</v>
      </c>
      <c r="L33" s="2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8.5127314814814809E-4</v>
      </c>
      <c r="M33" s="3">
        <f>IF(Table127163137496173109[[#This Row],[run 1 times]]="",999.99,IF(Table127163137496173109[[#This Row],[run 1 times]]=$S$3,0,MAX(0,ROUND(((Table127163137496173109[[#This Row],[run 1 times]]-$S$3)/$S$3)*$T$6,2))))</f>
        <v>196.72</v>
      </c>
      <c r="N33" s="2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9.2407407407407412E-4</v>
      </c>
      <c r="O33" s="3">
        <f>IF(Table127163137496173109[[#This Row],[run2 times]]="",999.99,IF(Table127163137496173109[[#This Row],[run2 times]]=$T$3,0,MAX(0,ROUND(((Table127163137496173109[[#This Row],[run2 times]]-$T$3)/$T$3)*$T$6,2))))</f>
        <v>184.29</v>
      </c>
      <c r="P33" s="2">
        <f>IF(OR(Table127163137496173109[[#This Row],[run 1 times]]="",Table127163137496173109[[#This Row],[run2 times]]=""),"",Table127163137496173109[[#This Row],[run 1 times]]+Table127163137496173109[[#This Row],[run2 times]])</f>
        <v>1.7753472222222222E-3</v>
      </c>
      <c r="Q33" s="3">
        <f>IF(Table127163137496173109[[#This Row],[total time]]="",999.99,IF(Table127163137496173109[[#This Row],[total time]]=$U$3,0,MAX(0,ROUND(((Table127163137496173109[[#This Row],[total time]]-$U$3)/$U$3)*$T$6,2))))</f>
        <v>190.22</v>
      </c>
      <c r="W33">
        <v>24</v>
      </c>
      <c r="X33">
        <v>178</v>
      </c>
      <c r="Y33" t="s">
        <v>487</v>
      </c>
      <c r="Z33" t="s">
        <v>547</v>
      </c>
      <c r="AA33" t="s">
        <v>847</v>
      </c>
      <c r="AB33">
        <v>2011</v>
      </c>
      <c r="AC33" s="1">
        <v>52.49</v>
      </c>
      <c r="AD33" s="1">
        <v>52.97</v>
      </c>
      <c r="AE33" s="1">
        <v>1.2206018518518518E-3</v>
      </c>
      <c r="AG33">
        <v>94634</v>
      </c>
      <c r="AH33" s="2">
        <f>_xlfn.LET(_xlpm.x,Table122110193440526476112[[#This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6.0752314814814816E-4</v>
      </c>
      <c r="AI33" s="3">
        <f>IF(Table122110193440526476112[[#This Row],[run 1 times]]="",999.99,IF(Table122110193440526476112[[#This Row],[run 1 times]]=$AO$3,0,MAX(0,ROUND(((Table122110193440526476112[[#This Row],[run 1 times]]-$AO$3)/$AO$3)*$AP$6,2))))</f>
        <v>26.66</v>
      </c>
      <c r="AJ33" s="2">
        <f>_xlfn.LET(_xlpm.x,Table122110193440526476112[[#This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6.1307870370370368E-4</v>
      </c>
      <c r="AK33" s="3">
        <f>IF(Table122110193440526476112[[#This Row],[run2 times]]="",999.99,IF(Table122110193440526476112[[#This Row],[run2 times]]=$AP$3,0,MAX(0,ROUND(((Table122110193440526476112[[#This Row],[run2 times]]-$AP$3)/$AP$3)*$AP$6,2))))</f>
        <v>3.06</v>
      </c>
      <c r="AL33" s="2">
        <f>IF(OR(Table122110193440526476112[[#This Row],[run 1 times]]="",Table122110193440526476112[[#This Row],[run2 times]]=""),"",Table122110193440526476112[[#This Row],[run 1 times]]+Table122110193440526476112[[#This Row],[run2 times]])</f>
        <v>1.2206018518518518E-3</v>
      </c>
      <c r="AM33" s="3">
        <f>IF(Table122110193440526476112[[#This Row],[total time]]="",999.99,IF(Table122110193440526476112[[#This Row],[total time]]=$AQ$3,0,MAX(0,ROUND(((Table122110193440526476112[[#This Row],[total time]]-$AQ$3)/$AQ$3)*$AP$6,2))))</f>
        <v>9.86</v>
      </c>
    </row>
    <row r="34" spans="1:39" x14ac:dyDescent="0.3">
      <c r="A34">
        <v>42</v>
      </c>
      <c r="B34">
        <v>89</v>
      </c>
      <c r="C34" t="s">
        <v>479</v>
      </c>
      <c r="D34" t="s">
        <v>522</v>
      </c>
      <c r="E34" t="s">
        <v>668</v>
      </c>
      <c r="F34">
        <v>2013</v>
      </c>
      <c r="G34" s="1">
        <v>7.9594907407407403E-4</v>
      </c>
      <c r="H34" s="1">
        <v>8.4803240740740737E-4</v>
      </c>
      <c r="I34" s="1">
        <v>1.6439814814814813E-3</v>
      </c>
      <c r="K34">
        <v>101440</v>
      </c>
      <c r="L34" s="2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7.9594907407407403E-4</v>
      </c>
      <c r="M34" s="3">
        <f>IF(Table127163137496173109[[#This Row],[run 1 times]]="",999.99,IF(Table127163137496173109[[#This Row],[run 1 times]]=$S$3,0,MAX(0,ROUND(((Table127163137496173109[[#This Row],[run 1 times]]-$S$3)/$S$3)*$T$6,2))))</f>
        <v>118.29</v>
      </c>
      <c r="N34" s="2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8.4803240740740737E-4</v>
      </c>
      <c r="O34" s="3">
        <f>IF(Table127163137496173109[[#This Row],[run2 times]]="",999.99,IF(Table127163137496173109[[#This Row],[run2 times]]=$T$3,0,MAX(0,ROUND(((Table127163137496173109[[#This Row],[run2 times]]-$T$3)/$T$3)*$T$6,2))))</f>
        <v>86.01</v>
      </c>
      <c r="P34" s="2">
        <f>IF(OR(Table127163137496173109[[#This Row],[run 1 times]]="",Table127163137496173109[[#This Row],[run2 times]]=""),"",Table127163137496173109[[#This Row],[run 1 times]]+Table127163137496173109[[#This Row],[run2 times]])</f>
        <v>1.6439814814814815E-3</v>
      </c>
      <c r="Q34" s="3">
        <f>IF(Table127163137496173109[[#This Row],[total time]]="",999.99,IF(Table127163137496173109[[#This Row],[total time]]=$U$3,0,MAX(0,ROUND(((Table127163137496173109[[#This Row],[total time]]-$U$3)/$U$3)*$T$6,2))))</f>
        <v>101.41</v>
      </c>
      <c r="W34">
        <v>23</v>
      </c>
      <c r="X34">
        <v>179</v>
      </c>
      <c r="Y34" t="s">
        <v>24</v>
      </c>
      <c r="Z34" t="s">
        <v>572</v>
      </c>
      <c r="AA34" t="s">
        <v>848</v>
      </c>
      <c r="AB34">
        <v>2009</v>
      </c>
      <c r="AC34" s="1">
        <v>54.51</v>
      </c>
      <c r="AD34" s="1">
        <v>55.55</v>
      </c>
      <c r="AE34" s="1">
        <v>1.2738425925925927E-3</v>
      </c>
      <c r="AG34">
        <v>93748</v>
      </c>
      <c r="AH34" s="2">
        <f>_xlfn.LET(_xlpm.x,Table122110193440526476112[[#This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6.3090277777777776E-4</v>
      </c>
      <c r="AI34" s="3">
        <f>IF(Table122110193440526476112[[#This Row],[run 1 times]]="",999.99,IF(Table122110193440526476112[[#This Row],[run 1 times]]=$AO$3,0,MAX(0,ROUND(((Table122110193440526476112[[#This Row],[run 1 times]]-$AO$3)/$AO$3)*$AP$6,2))))</f>
        <v>66.56</v>
      </c>
      <c r="AJ34" s="2">
        <f>_xlfn.LET(_xlpm.x,Table122110193440526476112[[#This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6.4293981481481483E-4</v>
      </c>
      <c r="AK34" s="3">
        <f>IF(Table122110193440526476112[[#This Row],[run2 times]]="",999.99,IF(Table122110193440526476112[[#This Row],[run2 times]]=$AP$3,0,MAX(0,ROUND(((Table122110193440526476112[[#This Row],[run2 times]]-$AP$3)/$AP$3)*$AP$6,2))))</f>
        <v>52.4</v>
      </c>
      <c r="AL34" s="2">
        <f>IF(OR(Table122110193440526476112[[#This Row],[run 1 times]]="",Table122110193440526476112[[#This Row],[run2 times]]=""),"",Table122110193440526476112[[#This Row],[run 1 times]]+Table122110193440526476112[[#This Row],[run2 times]])</f>
        <v>1.2738425925925925E-3</v>
      </c>
      <c r="AM34" s="3">
        <f>IF(Table122110193440526476112[[#This Row],[total time]]="",999.99,IF(Table122110193440526476112[[#This Row],[total time]]=$AQ$3,0,MAX(0,ROUND(((Table122110193440526476112[[#This Row],[total time]]-$AQ$3)/$AQ$3)*$AP$6,2))))</f>
        <v>54.35</v>
      </c>
    </row>
    <row r="35" spans="1:39" x14ac:dyDescent="0.3">
      <c r="A35">
        <v>41</v>
      </c>
      <c r="B35">
        <v>90</v>
      </c>
      <c r="C35" t="s">
        <v>826</v>
      </c>
      <c r="D35" t="s">
        <v>522</v>
      </c>
      <c r="E35" t="s">
        <v>885</v>
      </c>
      <c r="F35">
        <v>2013</v>
      </c>
      <c r="G35" s="1">
        <v>1.0126157407407406E-3</v>
      </c>
      <c r="H35" s="1">
        <v>1.1033564814814814E-3</v>
      </c>
      <c r="I35" s="1">
        <v>2.1159722222222222E-3</v>
      </c>
      <c r="K35">
        <v>112478</v>
      </c>
      <c r="L35" s="2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1.0126157407407406E-3</v>
      </c>
      <c r="M35" s="3">
        <f>IF(Table127163137496173109[[#This Row],[run 1 times]]="",999.99,IF(Table127163137496173109[[#This Row],[run 1 times]]=$S$3,0,MAX(0,ROUND(((Table127163137496173109[[#This Row],[run 1 times]]-$S$3)/$S$3)*$T$6,2))))</f>
        <v>425.43</v>
      </c>
      <c r="N35" s="2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1.1033564814814814E-3</v>
      </c>
      <c r="O35" s="3">
        <f>IF(Table127163137496173109[[#This Row],[run2 times]]="",999.99,IF(Table127163137496173109[[#This Row],[run2 times]]=$T$3,0,MAX(0,ROUND(((Table127163137496173109[[#This Row],[run2 times]]-$T$3)/$T$3)*$T$6,2))))</f>
        <v>416</v>
      </c>
      <c r="P35" s="2">
        <f>IF(OR(Table127163137496173109[[#This Row],[run 1 times]]="",Table127163137496173109[[#This Row],[run2 times]]=""),"",Table127163137496173109[[#This Row],[run 1 times]]+Table127163137496173109[[#This Row],[run2 times]])</f>
        <v>2.1159722222222222E-3</v>
      </c>
      <c r="Q35" s="3">
        <f>IF(Table127163137496173109[[#This Row],[total time]]="",999.99,IF(Table127163137496173109[[#This Row],[total time]]=$U$3,0,MAX(0,ROUND(((Table127163137496173109[[#This Row],[total time]]-$U$3)/$U$3)*$T$6,2))))</f>
        <v>420.49</v>
      </c>
      <c r="W35">
        <v>22</v>
      </c>
      <c r="X35">
        <v>180</v>
      </c>
      <c r="Y35" t="s">
        <v>24</v>
      </c>
      <c r="Z35" t="s">
        <v>547</v>
      </c>
      <c r="AA35" t="s">
        <v>754</v>
      </c>
      <c r="AB35">
        <v>2010</v>
      </c>
      <c r="AC35" s="1">
        <v>55.63</v>
      </c>
      <c r="AD35" s="1">
        <v>55.49</v>
      </c>
      <c r="AE35" s="1">
        <v>1.2861111111111111E-3</v>
      </c>
      <c r="AG35">
        <v>93749</v>
      </c>
      <c r="AH35" s="2">
        <f>_xlfn.LET(_xlpm.x,Table122110193440526476112[[#This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6.4386574074074075E-4</v>
      </c>
      <c r="AI35" s="3">
        <f>IF(Table122110193440526476112[[#This Row],[run 1 times]]="",999.99,IF(Table122110193440526476112[[#This Row],[run 1 times]]=$AO$3,0,MAX(0,ROUND(((Table122110193440526476112[[#This Row],[run 1 times]]-$AO$3)/$AO$3)*$AP$6,2))))</f>
        <v>88.68</v>
      </c>
      <c r="AJ35" s="2">
        <f>_xlfn.LET(_xlpm.x,Table122110193440526476112[[#This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6.4224537037037039E-4</v>
      </c>
      <c r="AK35" s="3">
        <f>IF(Table122110193440526476112[[#This Row],[run2 times]]="",999.99,IF(Table122110193440526476112[[#This Row],[run2 times]]=$AP$3,0,MAX(0,ROUND(((Table122110193440526476112[[#This Row],[run2 times]]-$AP$3)/$AP$3)*$AP$6,2))))</f>
        <v>51.26</v>
      </c>
      <c r="AL35" s="2">
        <f>IF(OR(Table122110193440526476112[[#This Row],[run 1 times]]="",Table122110193440526476112[[#This Row],[run2 times]]=""),"",Table122110193440526476112[[#This Row],[run 1 times]]+Table122110193440526476112[[#This Row],[run2 times]])</f>
        <v>1.2861111111111111E-3</v>
      </c>
      <c r="AM35" s="3">
        <f>IF(Table122110193440526476112[[#This Row],[total time]]="",999.99,IF(Table122110193440526476112[[#This Row],[total time]]=$AQ$3,0,MAX(0,ROUND(((Table122110193440526476112[[#This Row],[total time]]-$AQ$3)/$AQ$3)*$AP$6,2))))</f>
        <v>64.599999999999994</v>
      </c>
    </row>
    <row r="36" spans="1:39" x14ac:dyDescent="0.3">
      <c r="A36">
        <v>39</v>
      </c>
      <c r="B36">
        <v>92</v>
      </c>
      <c r="C36" t="s">
        <v>479</v>
      </c>
      <c r="D36" t="s">
        <v>522</v>
      </c>
      <c r="E36" t="s">
        <v>886</v>
      </c>
      <c r="F36">
        <v>2012</v>
      </c>
      <c r="G36" s="1">
        <v>8.7650462962962964E-4</v>
      </c>
      <c r="H36" s="1">
        <v>9.967592592592593E-4</v>
      </c>
      <c r="I36" s="1">
        <v>1.8732638888888887E-3</v>
      </c>
      <c r="K36">
        <v>116315</v>
      </c>
      <c r="L36" s="2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8.7650462962962964E-4</v>
      </c>
      <c r="M36" s="3">
        <f>IF(Table127163137496173109[[#This Row],[run 1 times]]="",999.99,IF(Table127163137496173109[[#This Row],[run 1 times]]=$S$3,0,MAX(0,ROUND(((Table127163137496173109[[#This Row],[run 1 times]]-$S$3)/$S$3)*$T$6,2))))</f>
        <v>232.48</v>
      </c>
      <c r="N36" s="2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9.967592592592593E-4</v>
      </c>
      <c r="O36" s="3">
        <f>IF(Table127163137496173109[[#This Row],[run2 times]]="",999.99,IF(Table127163137496173109[[#This Row],[run2 times]]=$T$3,0,MAX(0,ROUND(((Table127163137496173109[[#This Row],[run2 times]]-$T$3)/$T$3)*$T$6,2))))</f>
        <v>278.23</v>
      </c>
      <c r="P36" s="2">
        <f>IF(OR(Table127163137496173109[[#This Row],[run 1 times]]="",Table127163137496173109[[#This Row],[run2 times]]=""),"",Table127163137496173109[[#This Row],[run 1 times]]+Table127163137496173109[[#This Row],[run2 times]])</f>
        <v>1.8732638888888889E-3</v>
      </c>
      <c r="Q36" s="3">
        <f>IF(Table127163137496173109[[#This Row],[total time]]="",999.99,IF(Table127163137496173109[[#This Row],[total time]]=$U$3,0,MAX(0,ROUND(((Table127163137496173109[[#This Row],[total time]]-$U$3)/$U$3)*$T$6,2))))</f>
        <v>256.41000000000003</v>
      </c>
      <c r="W36">
        <v>21</v>
      </c>
      <c r="X36">
        <v>181</v>
      </c>
      <c r="Y36" t="s">
        <v>24</v>
      </c>
      <c r="Z36" t="s">
        <v>552</v>
      </c>
      <c r="AA36" t="s">
        <v>749</v>
      </c>
      <c r="AB36">
        <v>2009</v>
      </c>
      <c r="AC36" s="1">
        <v>56.34</v>
      </c>
      <c r="AD36" s="1">
        <v>58.14</v>
      </c>
      <c r="AE36" s="1">
        <v>1.3249999999999998E-3</v>
      </c>
      <c r="AG36">
        <v>104657</v>
      </c>
      <c r="AH36" s="2">
        <f>_xlfn.LET(_xlpm.x,Table122110193440526476112[[#This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6.520833333333334E-4</v>
      </c>
      <c r="AI36" s="3">
        <f>IF(Table122110193440526476112[[#This Row],[run 1 times]]="",999.99,IF(Table122110193440526476112[[#This Row],[run 1 times]]=$AO$3,0,MAX(0,ROUND(((Table122110193440526476112[[#This Row],[run 1 times]]-$AO$3)/$AO$3)*$AP$6,2))))</f>
        <v>102.7</v>
      </c>
      <c r="AJ36" s="2">
        <f>_xlfn.LET(_xlpm.x,Table122110193440526476112[[#This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6.7291666666666672E-4</v>
      </c>
      <c r="AK36" s="3">
        <f>IF(Table122110193440526476112[[#This Row],[run2 times]]="",999.99,IF(Table122110193440526476112[[#This Row],[run2 times]]=$AP$3,0,MAX(0,ROUND(((Table122110193440526476112[[#This Row],[run2 times]]-$AP$3)/$AP$3)*$AP$6,2))))</f>
        <v>101.94</v>
      </c>
      <c r="AL36" s="2">
        <f>IF(OR(Table122110193440526476112[[#This Row],[run 1 times]]="",Table122110193440526476112[[#This Row],[run2 times]]=""),"",Table122110193440526476112[[#This Row],[run 1 times]]+Table122110193440526476112[[#This Row],[run2 times]])</f>
        <v>1.3250000000000002E-3</v>
      </c>
      <c r="AM36" s="3">
        <f>IF(Table122110193440526476112[[#This Row],[total time]]="",999.99,IF(Table122110193440526476112[[#This Row],[total time]]=$AQ$3,0,MAX(0,ROUND(((Table122110193440526476112[[#This Row],[total time]]-$AQ$3)/$AQ$3)*$AP$6,2))))</f>
        <v>97.09</v>
      </c>
    </row>
    <row r="37" spans="1:39" x14ac:dyDescent="0.3">
      <c r="A37">
        <v>38</v>
      </c>
      <c r="B37">
        <v>93</v>
      </c>
      <c r="C37" t="s">
        <v>373</v>
      </c>
      <c r="D37" t="s">
        <v>522</v>
      </c>
      <c r="E37" t="s">
        <v>683</v>
      </c>
      <c r="F37">
        <v>2013</v>
      </c>
      <c r="G37" s="1" t="s">
        <v>512</v>
      </c>
      <c r="H37" s="1">
        <v>1.0979166666666667E-3</v>
      </c>
      <c r="I37" s="1"/>
      <c r="K37">
        <v>107172</v>
      </c>
      <c r="L37" s="2" t="str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37" s="3">
        <f>IF(Table127163137496173109[[#This Row],[run 1 times]]="",999.99,IF(Table127163137496173109[[#This Row],[run 1 times]]=$S$3,0,MAX(0,ROUND(((Table127163137496173109[[#This Row],[run 1 times]]-$S$3)/$S$3)*$T$6,2))))</f>
        <v>999.99</v>
      </c>
      <c r="N37" s="2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1.0979166666666667E-3</v>
      </c>
      <c r="O37" s="3">
        <f>IF(Table127163137496173109[[#This Row],[run2 times]]="",999.99,IF(Table127163137496173109[[#This Row],[run2 times]]=$T$3,0,MAX(0,ROUND(((Table127163137496173109[[#This Row],[run2 times]]-$T$3)/$T$3)*$T$6,2))))</f>
        <v>408.97</v>
      </c>
      <c r="P37" s="2" t="str">
        <f>IF(OR(Table127163137496173109[[#This Row],[run 1 times]]="",Table127163137496173109[[#This Row],[run2 times]]=""),"",Table127163137496173109[[#This Row],[run 1 times]]+Table127163137496173109[[#This Row],[run2 times]])</f>
        <v/>
      </c>
      <c r="Q37" s="3">
        <f>IF(Table127163137496173109[[#This Row],[total time]]="",999.99,IF(Table127163137496173109[[#This Row],[total time]]=$U$3,0,MAX(0,ROUND(((Table127163137496173109[[#This Row],[total time]]-$U$3)/$U$3)*$T$6,2))))</f>
        <v>999.99</v>
      </c>
      <c r="W37">
        <v>19</v>
      </c>
      <c r="X37">
        <v>143</v>
      </c>
      <c r="Y37" t="s">
        <v>373</v>
      </c>
      <c r="Z37" t="s">
        <v>547</v>
      </c>
      <c r="AA37" t="s">
        <v>753</v>
      </c>
      <c r="AB37">
        <v>2011</v>
      </c>
      <c r="AC37" s="1" t="s">
        <v>510</v>
      </c>
      <c r="AD37" s="1" t="s">
        <v>510</v>
      </c>
      <c r="AE37" s="1"/>
      <c r="AG37">
        <v>112387</v>
      </c>
      <c r="AH37" s="2" t="str">
        <f>_xlfn.LET(_xlpm.x,Table122110193440526476112[[#This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37" s="3">
        <f>IF(Table122110193440526476112[[#This Row],[run 1 times]]="",999.99,IF(Table122110193440526476112[[#This Row],[run 1 times]]=$AO$3,0,MAX(0,ROUND(((Table122110193440526476112[[#This Row],[run 1 times]]-$AO$3)/$AO$3)*$AP$6,2))))</f>
        <v>999.99</v>
      </c>
      <c r="AJ37" s="2" t="str">
        <f>_xlfn.LET(_xlpm.x,Table122110193440526476112[[#This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37" s="3">
        <f>IF(Table122110193440526476112[[#This Row],[run2 times]]="",999.99,IF(Table122110193440526476112[[#This Row],[run2 times]]=$AP$3,0,MAX(0,ROUND(((Table122110193440526476112[[#This Row],[run2 times]]-$AP$3)/$AP$3)*$AP$6,2))))</f>
        <v>999.99</v>
      </c>
      <c r="AL37" s="2" t="str">
        <f>IF(OR(Table122110193440526476112[[#This Row],[run 1 times]]="",Table122110193440526476112[[#This Row],[run2 times]]=""),"",Table122110193440526476112[[#This Row],[run 1 times]]+Table122110193440526476112[[#This Row],[run2 times]])</f>
        <v/>
      </c>
      <c r="AM37" s="3">
        <f>IF(Table122110193440526476112[[#This Row],[total time]]="",999.99,IF(Table122110193440526476112[[#This Row],[total time]]=$AQ$3,0,MAX(0,ROUND(((Table122110193440526476112[[#This Row],[total time]]-$AQ$3)/$AQ$3)*$AP$6,2))))</f>
        <v>999.99</v>
      </c>
    </row>
    <row r="38" spans="1:39" x14ac:dyDescent="0.3">
      <c r="A38">
        <v>37</v>
      </c>
      <c r="B38">
        <v>94</v>
      </c>
      <c r="C38" t="s">
        <v>257</v>
      </c>
      <c r="D38" t="s">
        <v>480</v>
      </c>
      <c r="E38" t="s">
        <v>710</v>
      </c>
      <c r="F38">
        <v>2015</v>
      </c>
      <c r="G38" s="1">
        <v>9.9918981481481473E-4</v>
      </c>
      <c r="H38" s="1">
        <v>1.0512731481481482E-3</v>
      </c>
      <c r="I38" s="1">
        <v>2.0504629629629631E-3</v>
      </c>
      <c r="K38">
        <v>124078</v>
      </c>
      <c r="L38" s="2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9.9918981481481473E-4</v>
      </c>
      <c r="M38" s="3">
        <f>IF(Table127163137496173109[[#This Row],[run 1 times]]="",999.99,IF(Table127163137496173109[[#This Row],[run 1 times]]=$S$3,0,MAX(0,ROUND(((Table127163137496173109[[#This Row],[run 1 times]]-$S$3)/$S$3)*$T$6,2))))</f>
        <v>406.4</v>
      </c>
      <c r="N38" s="2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1.0512731481481482E-3</v>
      </c>
      <c r="O38" s="3">
        <f>IF(Table127163137496173109[[#This Row],[run2 times]]="",999.99,IF(Table127163137496173109[[#This Row],[run2 times]]=$T$3,0,MAX(0,ROUND(((Table127163137496173109[[#This Row],[run2 times]]-$T$3)/$T$3)*$T$6,2))))</f>
        <v>348.68</v>
      </c>
      <c r="P38" s="2">
        <f>IF(OR(Table127163137496173109[[#This Row],[run 1 times]]="",Table127163137496173109[[#This Row],[run2 times]]=""),"",Table127163137496173109[[#This Row],[run 1 times]]+Table127163137496173109[[#This Row],[run2 times]])</f>
        <v>2.0504629629629631E-3</v>
      </c>
      <c r="Q38" s="3">
        <f>IF(Table127163137496173109[[#This Row],[total time]]="",999.99,IF(Table127163137496173109[[#This Row],[total time]]=$U$3,0,MAX(0,ROUND(((Table127163137496173109[[#This Row],[total time]]-$U$3)/$U$3)*$T$6,2))))</f>
        <v>376.21</v>
      </c>
      <c r="W38">
        <v>17</v>
      </c>
      <c r="X38">
        <v>145</v>
      </c>
      <c r="Y38" t="s">
        <v>479</v>
      </c>
      <c r="Z38" t="s">
        <v>547</v>
      </c>
      <c r="AA38" t="s">
        <v>768</v>
      </c>
      <c r="AB38">
        <v>2011</v>
      </c>
      <c r="AC38" s="1" t="s">
        <v>510</v>
      </c>
      <c r="AD38" s="1" t="s">
        <v>510</v>
      </c>
      <c r="AE38" s="1"/>
      <c r="AG38">
        <v>89891</v>
      </c>
      <c r="AH38" s="2" t="str">
        <f>_xlfn.LET(_xlpm.x,Table122110193440526476112[[#This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38" s="3">
        <f>IF(Table122110193440526476112[[#This Row],[run 1 times]]="",999.99,IF(Table122110193440526476112[[#This Row],[run 1 times]]=$AO$3,0,MAX(0,ROUND(((Table122110193440526476112[[#This Row],[run 1 times]]-$AO$3)/$AO$3)*$AP$6,2))))</f>
        <v>999.99</v>
      </c>
      <c r="AJ38" s="2" t="str">
        <f>_xlfn.LET(_xlpm.x,Table122110193440526476112[[#This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38" s="3">
        <f>IF(Table122110193440526476112[[#This Row],[run2 times]]="",999.99,IF(Table122110193440526476112[[#This Row],[run2 times]]=$AP$3,0,MAX(0,ROUND(((Table122110193440526476112[[#This Row],[run2 times]]-$AP$3)/$AP$3)*$AP$6,2))))</f>
        <v>999.99</v>
      </c>
      <c r="AL38" s="2" t="str">
        <f>IF(OR(Table122110193440526476112[[#This Row],[run 1 times]]="",Table122110193440526476112[[#This Row],[run2 times]]=""),"",Table122110193440526476112[[#This Row],[run 1 times]]+Table122110193440526476112[[#This Row],[run2 times]])</f>
        <v/>
      </c>
      <c r="AM38" s="3">
        <f>IF(Table122110193440526476112[[#This Row],[total time]]="",999.99,IF(Table122110193440526476112[[#This Row],[total time]]=$AQ$3,0,MAX(0,ROUND(((Table122110193440526476112[[#This Row],[total time]]-$AQ$3)/$AQ$3)*$AP$6,2))))</f>
        <v>999.99</v>
      </c>
    </row>
    <row r="39" spans="1:39" x14ac:dyDescent="0.3">
      <c r="A39">
        <v>36</v>
      </c>
      <c r="B39">
        <v>95</v>
      </c>
      <c r="C39" t="s">
        <v>257</v>
      </c>
      <c r="D39" t="s">
        <v>480</v>
      </c>
      <c r="E39" t="s">
        <v>887</v>
      </c>
      <c r="F39">
        <v>2014</v>
      </c>
      <c r="G39" s="1">
        <v>9.8263888888888901E-4</v>
      </c>
      <c r="H39" s="1">
        <v>1.0210648148148147E-3</v>
      </c>
      <c r="I39" s="1">
        <v>2.0037037037037037E-3</v>
      </c>
      <c r="K39">
        <v>117770</v>
      </c>
      <c r="L39" s="2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9.8263888888888901E-4</v>
      </c>
      <c r="M39" s="3">
        <f>IF(Table127163137496173109[[#This Row],[run 1 times]]="",999.99,IF(Table127163137496173109[[#This Row],[run 1 times]]=$S$3,0,MAX(0,ROUND(((Table127163137496173109[[#This Row],[run 1 times]]-$S$3)/$S$3)*$T$6,2))))</f>
        <v>382.93</v>
      </c>
      <c r="N39" s="2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1.0210648148148147E-3</v>
      </c>
      <c r="O39" s="3">
        <f>IF(Table127163137496173109[[#This Row],[run2 times]]="",999.99,IF(Table127163137496173109[[#This Row],[run2 times]]=$T$3,0,MAX(0,ROUND(((Table127163137496173109[[#This Row],[run2 times]]-$T$3)/$T$3)*$T$6,2))))</f>
        <v>309.64</v>
      </c>
      <c r="P39" s="2">
        <f>IF(OR(Table127163137496173109[[#This Row],[run 1 times]]="",Table127163137496173109[[#This Row],[run2 times]]=""),"",Table127163137496173109[[#This Row],[run 1 times]]+Table127163137496173109[[#This Row],[run2 times]])</f>
        <v>2.0037037037037037E-3</v>
      </c>
      <c r="Q39" s="3">
        <f>IF(Table127163137496173109[[#This Row],[total time]]="",999.99,IF(Table127163137496173109[[#This Row],[total time]]=$U$3,0,MAX(0,ROUND(((Table127163137496173109[[#This Row],[total time]]-$U$3)/$U$3)*$T$6,2))))</f>
        <v>344.6</v>
      </c>
      <c r="W39">
        <v>7</v>
      </c>
      <c r="X39">
        <v>155</v>
      </c>
      <c r="Y39" t="s">
        <v>838</v>
      </c>
      <c r="Z39" t="s">
        <v>547</v>
      </c>
      <c r="AA39" t="s">
        <v>849</v>
      </c>
      <c r="AB39">
        <v>2010</v>
      </c>
      <c r="AC39" s="1" t="s">
        <v>510</v>
      </c>
      <c r="AD39" s="1" t="s">
        <v>510</v>
      </c>
      <c r="AE39" s="1"/>
      <c r="AG39">
        <v>122038</v>
      </c>
      <c r="AH39" s="2" t="str">
        <f>_xlfn.LET(_xlpm.x,Table122110193440526476112[[#This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39" s="3">
        <f>IF(Table122110193440526476112[[#This Row],[run 1 times]]="",999.99,IF(Table122110193440526476112[[#This Row],[run 1 times]]=$AO$3,0,MAX(0,ROUND(((Table122110193440526476112[[#This Row],[run 1 times]]-$AO$3)/$AO$3)*$AP$6,2))))</f>
        <v>999.99</v>
      </c>
      <c r="AJ39" s="2" t="str">
        <f>_xlfn.LET(_xlpm.x,Table122110193440526476112[[#This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39" s="3">
        <f>IF(Table122110193440526476112[[#This Row],[run2 times]]="",999.99,IF(Table122110193440526476112[[#This Row],[run2 times]]=$AP$3,0,MAX(0,ROUND(((Table122110193440526476112[[#This Row],[run2 times]]-$AP$3)/$AP$3)*$AP$6,2))))</f>
        <v>999.99</v>
      </c>
      <c r="AL39" s="2" t="str">
        <f>IF(OR(Table122110193440526476112[[#This Row],[run 1 times]]="",Table122110193440526476112[[#This Row],[run2 times]]=""),"",Table122110193440526476112[[#This Row],[run 1 times]]+Table122110193440526476112[[#This Row],[run2 times]])</f>
        <v/>
      </c>
      <c r="AM39" s="3">
        <f>IF(Table122110193440526476112[[#This Row],[total time]]="",999.99,IF(Table122110193440526476112[[#This Row],[total time]]=$AQ$3,0,MAX(0,ROUND(((Table122110193440526476112[[#This Row],[total time]]-$AQ$3)/$AQ$3)*$AP$6,2))))</f>
        <v>999.99</v>
      </c>
    </row>
    <row r="40" spans="1:39" x14ac:dyDescent="0.3">
      <c r="A40">
        <v>35</v>
      </c>
      <c r="B40">
        <v>96</v>
      </c>
      <c r="C40" t="s">
        <v>24</v>
      </c>
      <c r="D40" t="s">
        <v>522</v>
      </c>
      <c r="E40" t="s">
        <v>681</v>
      </c>
      <c r="F40">
        <v>2013</v>
      </c>
      <c r="G40" s="1">
        <v>9.1458333333333333E-4</v>
      </c>
      <c r="H40" s="1">
        <v>9.7442129629629626E-4</v>
      </c>
      <c r="I40" s="1">
        <v>1.8890046296296298E-3</v>
      </c>
      <c r="K40">
        <v>108684</v>
      </c>
      <c r="L40" s="2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9.1458333333333333E-4</v>
      </c>
      <c r="M40" s="3">
        <f>IF(Table127163137496173109[[#This Row],[run 1 times]]="",999.99,IF(Table127163137496173109[[#This Row],[run 1 times]]=$S$3,0,MAX(0,ROUND(((Table127163137496173109[[#This Row],[run 1 times]]-$S$3)/$S$3)*$T$6,2))))</f>
        <v>286.45999999999998</v>
      </c>
      <c r="N40" s="2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9.7442129629629626E-4</v>
      </c>
      <c r="O40" s="3">
        <f>IF(Table127163137496173109[[#This Row],[run2 times]]="",999.99,IF(Table127163137496173109[[#This Row],[run2 times]]=$T$3,0,MAX(0,ROUND(((Table127163137496173109[[#This Row],[run2 times]]-$T$3)/$T$3)*$T$6,2))))</f>
        <v>249.36</v>
      </c>
      <c r="P40" s="2">
        <f>IF(OR(Table127163137496173109[[#This Row],[run 1 times]]="",Table127163137496173109[[#This Row],[run2 times]]=""),"",Table127163137496173109[[#This Row],[run 1 times]]+Table127163137496173109[[#This Row],[run2 times]])</f>
        <v>1.8890046296296296E-3</v>
      </c>
      <c r="Q40" s="3">
        <f>IF(Table127163137496173109[[#This Row],[total time]]="",999.99,IF(Table127163137496173109[[#This Row],[total time]]=$U$3,0,MAX(0,ROUND(((Table127163137496173109[[#This Row],[total time]]-$U$3)/$U$3)*$T$6,2))))</f>
        <v>267.05</v>
      </c>
      <c r="W40">
        <v>1</v>
      </c>
      <c r="X40">
        <v>161</v>
      </c>
      <c r="Y40" t="s">
        <v>24</v>
      </c>
      <c r="Z40" t="s">
        <v>547</v>
      </c>
      <c r="AA40" t="s">
        <v>850</v>
      </c>
      <c r="AB40">
        <v>2010</v>
      </c>
      <c r="AC40" s="1" t="s">
        <v>510</v>
      </c>
      <c r="AD40" s="1" t="s">
        <v>510</v>
      </c>
      <c r="AE40" s="1"/>
      <c r="AG40">
        <v>87565</v>
      </c>
      <c r="AH40" s="2" t="str">
        <f>_xlfn.LET(_xlpm.x,Table122110193440526476112[[#This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40" s="3">
        <f>IF(Table122110193440526476112[[#This Row],[run 1 times]]="",999.99,IF(Table122110193440526476112[[#This Row],[run 1 times]]=$AO$3,0,MAX(0,ROUND(((Table122110193440526476112[[#This Row],[run 1 times]]-$AO$3)/$AO$3)*$AP$6,2))))</f>
        <v>999.99</v>
      </c>
      <c r="AJ40" s="2" t="str">
        <f>_xlfn.LET(_xlpm.x,Table122110193440526476112[[#This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40" s="3">
        <f>IF(Table122110193440526476112[[#This Row],[run2 times]]="",999.99,IF(Table122110193440526476112[[#This Row],[run2 times]]=$AP$3,0,MAX(0,ROUND(((Table122110193440526476112[[#This Row],[run2 times]]-$AP$3)/$AP$3)*$AP$6,2))))</f>
        <v>999.99</v>
      </c>
      <c r="AL40" s="2" t="str">
        <f>IF(OR(Table122110193440526476112[[#This Row],[run 1 times]]="",Table122110193440526476112[[#This Row],[run2 times]]=""),"",Table122110193440526476112[[#This Row],[run 1 times]]+Table122110193440526476112[[#This Row],[run2 times]])</f>
        <v/>
      </c>
      <c r="AM40" s="3">
        <f>IF(Table122110193440526476112[[#This Row],[total time]]="",999.99,IF(Table122110193440526476112[[#This Row],[total time]]=$AQ$3,0,MAX(0,ROUND(((Table122110193440526476112[[#This Row],[total time]]-$AQ$3)/$AQ$3)*$AP$6,2))))</f>
        <v>999.99</v>
      </c>
    </row>
    <row r="41" spans="1:39" x14ac:dyDescent="0.3">
      <c r="A41">
        <v>33</v>
      </c>
      <c r="B41">
        <v>98</v>
      </c>
      <c r="C41" t="s">
        <v>257</v>
      </c>
      <c r="D41" t="s">
        <v>522</v>
      </c>
      <c r="E41" t="s">
        <v>709</v>
      </c>
      <c r="F41">
        <v>2012</v>
      </c>
      <c r="G41" s="1">
        <v>8.050925925925926E-4</v>
      </c>
      <c r="H41" s="1">
        <v>8.8229166666666675E-4</v>
      </c>
      <c r="I41" s="1">
        <v>1.6873842592592591E-3</v>
      </c>
      <c r="K41">
        <v>107305</v>
      </c>
      <c r="L41" s="2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8.050925925925926E-4</v>
      </c>
      <c r="M41" s="3">
        <f>IF(Table127163137496173109[[#This Row],[run 1 times]]="",999.99,IF(Table127163137496173109[[#This Row],[run 1 times]]=$S$3,0,MAX(0,ROUND(((Table127163137496173109[[#This Row],[run 1 times]]-$S$3)/$S$3)*$T$6,2))))</f>
        <v>131.25</v>
      </c>
      <c r="N41" s="2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8.8229166666666675E-4</v>
      </c>
      <c r="O41" s="3">
        <f>IF(Table127163137496173109[[#This Row],[run2 times]]="",999.99,IF(Table127163137496173109[[#This Row],[run2 times]]=$T$3,0,MAX(0,ROUND(((Table127163137496173109[[#This Row],[run2 times]]-$T$3)/$T$3)*$T$6,2))))</f>
        <v>130.29</v>
      </c>
      <c r="P41" s="2">
        <f>IF(OR(Table127163137496173109[[#This Row],[run 1 times]]="",Table127163137496173109[[#This Row],[run2 times]]=""),"",Table127163137496173109[[#This Row],[run 1 times]]+Table127163137496173109[[#This Row],[run2 times]])</f>
        <v>1.6873842592592593E-3</v>
      </c>
      <c r="Q41" s="3">
        <f>IF(Table127163137496173109[[#This Row],[total time]]="",999.99,IF(Table127163137496173109[[#This Row],[total time]]=$U$3,0,MAX(0,ROUND(((Table127163137496173109[[#This Row],[total time]]-$U$3)/$U$3)*$T$6,2))))</f>
        <v>130.75</v>
      </c>
      <c r="W41">
        <v>37</v>
      </c>
      <c r="X41">
        <v>165</v>
      </c>
      <c r="Y41" t="s">
        <v>24</v>
      </c>
      <c r="Z41" t="s">
        <v>572</v>
      </c>
      <c r="AA41" t="s">
        <v>761</v>
      </c>
      <c r="AB41">
        <v>2009</v>
      </c>
      <c r="AC41" s="1" t="s">
        <v>510</v>
      </c>
      <c r="AD41" s="1" t="s">
        <v>510</v>
      </c>
      <c r="AE41" s="1"/>
      <c r="AG41">
        <v>84474</v>
      </c>
      <c r="AH41" s="2" t="str">
        <f>_xlfn.LET(_xlpm.x,Table122110193440526476112[[#This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41" s="3">
        <f>IF(Table122110193440526476112[[#This Row],[run 1 times]]="",999.99,IF(Table122110193440526476112[[#This Row],[run 1 times]]=$AO$3,0,MAX(0,ROUND(((Table122110193440526476112[[#This Row],[run 1 times]]-$AO$3)/$AO$3)*$AP$6,2))))</f>
        <v>999.99</v>
      </c>
      <c r="AJ41" s="2" t="str">
        <f>_xlfn.LET(_xlpm.x,Table122110193440526476112[[#This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41" s="3">
        <f>IF(Table122110193440526476112[[#This Row],[run2 times]]="",999.99,IF(Table122110193440526476112[[#This Row],[run2 times]]=$AP$3,0,MAX(0,ROUND(((Table122110193440526476112[[#This Row],[run2 times]]-$AP$3)/$AP$3)*$AP$6,2))))</f>
        <v>999.99</v>
      </c>
      <c r="AL41" s="2" t="str">
        <f>IF(OR(Table122110193440526476112[[#This Row],[run 1 times]]="",Table122110193440526476112[[#This Row],[run2 times]]=""),"",Table122110193440526476112[[#This Row],[run 1 times]]+Table122110193440526476112[[#This Row],[run2 times]])</f>
        <v/>
      </c>
      <c r="AM41" s="3">
        <f>IF(Table122110193440526476112[[#This Row],[total time]]="",999.99,IF(Table122110193440526476112[[#This Row],[total time]]=$AQ$3,0,MAX(0,ROUND(((Table122110193440526476112[[#This Row],[total time]]-$AQ$3)/$AQ$3)*$AP$6,2))))</f>
        <v>999.99</v>
      </c>
    </row>
    <row r="42" spans="1:39" x14ac:dyDescent="0.3">
      <c r="A42">
        <v>32</v>
      </c>
      <c r="B42">
        <v>99</v>
      </c>
      <c r="C42" t="s">
        <v>257</v>
      </c>
      <c r="D42" t="s">
        <v>480</v>
      </c>
      <c r="E42" t="s">
        <v>888</v>
      </c>
      <c r="F42">
        <v>2015</v>
      </c>
      <c r="G42" s="1">
        <v>1.3232638888888888E-3</v>
      </c>
      <c r="H42" s="1">
        <v>1.3249999999999998E-3</v>
      </c>
      <c r="I42" s="1">
        <v>2.6482638888888888E-3</v>
      </c>
      <c r="K42">
        <v>124079</v>
      </c>
      <c r="L42" s="2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1.3232638888888888E-3</v>
      </c>
      <c r="M42" s="3">
        <f>IF(Table127163137496173109[[#This Row],[run 1 times]]="",999.99,IF(Table127163137496173109[[#This Row],[run 1 times]]=$S$3,0,MAX(0,ROUND(((Table127163137496173109[[#This Row],[run 1 times]]-$S$3)/$S$3)*$T$6,2))))</f>
        <v>865.78</v>
      </c>
      <c r="N42" s="2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1.3249999999999998E-3</v>
      </c>
      <c r="O42" s="3">
        <f>IF(Table127163137496173109[[#This Row],[run2 times]]="",999.99,IF(Table127163137496173109[[#This Row],[run2 times]]=$T$3,0,MAX(0,ROUND(((Table127163137496173109[[#This Row],[run2 times]]-$T$3)/$T$3)*$T$6,2))))</f>
        <v>702.45</v>
      </c>
      <c r="P42" s="2">
        <f>IF(OR(Table127163137496173109[[#This Row],[run 1 times]]="",Table127163137496173109[[#This Row],[run2 times]]=""),"",Table127163137496173109[[#This Row],[run 1 times]]+Table127163137496173109[[#This Row],[run2 times]])</f>
        <v>2.6482638888888884E-3</v>
      </c>
      <c r="Q42" s="3">
        <f>IF(Table127163137496173109[[#This Row],[total time]]="",999.99,IF(Table127163137496173109[[#This Row],[total time]]=$U$3,0,MAX(0,ROUND(((Table127163137496173109[[#This Row],[total time]]-$U$3)/$U$3)*$T$6,2))))</f>
        <v>780.35</v>
      </c>
      <c r="W42">
        <v>35</v>
      </c>
      <c r="X42">
        <v>167</v>
      </c>
      <c r="Y42" t="s">
        <v>487</v>
      </c>
      <c r="Z42" t="s">
        <v>547</v>
      </c>
      <c r="AA42" t="s">
        <v>764</v>
      </c>
      <c r="AB42">
        <v>2010</v>
      </c>
      <c r="AC42" s="1" t="s">
        <v>512</v>
      </c>
      <c r="AD42" s="1" t="s">
        <v>510</v>
      </c>
      <c r="AE42" s="1"/>
      <c r="AG42">
        <v>89445</v>
      </c>
      <c r="AH42" s="2" t="str">
        <f>_xlfn.LET(_xlpm.x,Table122110193440526476112[[#This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42" s="3">
        <f>IF(Table122110193440526476112[[#This Row],[run 1 times]]="",999.99,IF(Table122110193440526476112[[#This Row],[run 1 times]]=$AO$3,0,MAX(0,ROUND(((Table122110193440526476112[[#This Row],[run 1 times]]-$AO$3)/$AO$3)*$AP$6,2))))</f>
        <v>999.99</v>
      </c>
      <c r="AJ42" s="2" t="str">
        <f>_xlfn.LET(_xlpm.x,Table122110193440526476112[[#This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42" s="3">
        <f>IF(Table122110193440526476112[[#This Row],[run2 times]]="",999.99,IF(Table122110193440526476112[[#This Row],[run2 times]]=$AP$3,0,MAX(0,ROUND(((Table122110193440526476112[[#This Row],[run2 times]]-$AP$3)/$AP$3)*$AP$6,2))))</f>
        <v>999.99</v>
      </c>
      <c r="AL42" s="2" t="str">
        <f>IF(OR(Table122110193440526476112[[#This Row],[run 1 times]]="",Table122110193440526476112[[#This Row],[run2 times]]=""),"",Table122110193440526476112[[#This Row],[run 1 times]]+Table122110193440526476112[[#This Row],[run2 times]])</f>
        <v/>
      </c>
      <c r="AM42" s="3">
        <f>IF(Table122110193440526476112[[#This Row],[total time]]="",999.99,IF(Table122110193440526476112[[#This Row],[total time]]=$AQ$3,0,MAX(0,ROUND(((Table122110193440526476112[[#This Row],[total time]]-$AQ$3)/$AQ$3)*$AP$6,2))))</f>
        <v>999.99</v>
      </c>
    </row>
    <row r="43" spans="1:39" x14ac:dyDescent="0.3">
      <c r="A43">
        <v>30</v>
      </c>
      <c r="B43">
        <v>101</v>
      </c>
      <c r="C43" t="s">
        <v>479</v>
      </c>
      <c r="D43" t="s">
        <v>522</v>
      </c>
      <c r="E43" t="s">
        <v>889</v>
      </c>
      <c r="F43">
        <v>2013</v>
      </c>
      <c r="G43" s="1">
        <v>9.2476851851851856E-4</v>
      </c>
      <c r="H43" s="1">
        <v>1.0087962962962963E-3</v>
      </c>
      <c r="I43" s="1">
        <v>1.9335648148148148E-3</v>
      </c>
      <c r="K43">
        <v>106379</v>
      </c>
      <c r="L43" s="2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9.2476851851851856E-4</v>
      </c>
      <c r="M43" s="3">
        <f>IF(Table127163137496173109[[#This Row],[run 1 times]]="",999.99,IF(Table127163137496173109[[#This Row],[run 1 times]]=$S$3,0,MAX(0,ROUND(((Table127163137496173109[[#This Row],[run 1 times]]-$S$3)/$S$3)*$T$6,2))))</f>
        <v>300.89999999999998</v>
      </c>
      <c r="N43" s="2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1.0087962962962963E-3</v>
      </c>
      <c r="O43" s="3">
        <f>IF(Table127163137496173109[[#This Row],[run2 times]]="",999.99,IF(Table127163137496173109[[#This Row],[run2 times]]=$T$3,0,MAX(0,ROUND(((Table127163137496173109[[#This Row],[run2 times]]-$T$3)/$T$3)*$T$6,2))))</f>
        <v>293.79000000000002</v>
      </c>
      <c r="P43" s="2">
        <f>IF(OR(Table127163137496173109[[#This Row],[run 1 times]]="",Table127163137496173109[[#This Row],[run2 times]]=""),"",Table127163137496173109[[#This Row],[run 1 times]]+Table127163137496173109[[#This Row],[run2 times]])</f>
        <v>1.9335648148148148E-3</v>
      </c>
      <c r="Q43" s="3">
        <f>IF(Table127163137496173109[[#This Row],[total time]]="",999.99,IF(Table127163137496173109[[#This Row],[total time]]=$U$3,0,MAX(0,ROUND(((Table127163137496173109[[#This Row],[total time]]-$U$3)/$U$3)*$T$6,2))))</f>
        <v>297.18</v>
      </c>
    </row>
    <row r="44" spans="1:39" x14ac:dyDescent="0.3">
      <c r="A44">
        <v>29</v>
      </c>
      <c r="B44">
        <v>102</v>
      </c>
      <c r="C44" t="s">
        <v>851</v>
      </c>
      <c r="D44" t="s">
        <v>522</v>
      </c>
      <c r="E44" t="s">
        <v>890</v>
      </c>
      <c r="F44">
        <v>2012</v>
      </c>
      <c r="G44" s="1" t="s">
        <v>512</v>
      </c>
      <c r="H44" s="1">
        <v>8.5405092592592585E-4</v>
      </c>
      <c r="I44" s="1"/>
      <c r="K44">
        <v>7149154</v>
      </c>
      <c r="L44" s="2" t="str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44" s="3">
        <f>IF(Table127163137496173109[[#This Row],[run 1 times]]="",999.99,IF(Table127163137496173109[[#This Row],[run 1 times]]=$S$3,0,MAX(0,ROUND(((Table127163137496173109[[#This Row],[run 1 times]]-$S$3)/$S$3)*$T$6,2))))</f>
        <v>999.99</v>
      </c>
      <c r="N44" s="2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8.5405092592592585E-4</v>
      </c>
      <c r="O44" s="3">
        <f>IF(Table127163137496173109[[#This Row],[run2 times]]="",999.99,IF(Table127163137496173109[[#This Row],[run2 times]]=$T$3,0,MAX(0,ROUND(((Table127163137496173109[[#This Row],[run2 times]]-$T$3)/$T$3)*$T$6,2))))</f>
        <v>93.79</v>
      </c>
      <c r="P44" s="2" t="str">
        <f>IF(OR(Table127163137496173109[[#This Row],[run 1 times]]="",Table127163137496173109[[#This Row],[run2 times]]=""),"",Table127163137496173109[[#This Row],[run 1 times]]+Table127163137496173109[[#This Row],[run2 times]])</f>
        <v/>
      </c>
      <c r="Q44" s="3">
        <f>IF(Table127163137496173109[[#This Row],[total time]]="",999.99,IF(Table127163137496173109[[#This Row],[total time]]=$U$3,0,MAX(0,ROUND(((Table127163137496173109[[#This Row],[total time]]-$U$3)/$U$3)*$T$6,2))))</f>
        <v>999.99</v>
      </c>
    </row>
    <row r="45" spans="1:39" x14ac:dyDescent="0.3">
      <c r="A45">
        <v>28</v>
      </c>
      <c r="B45">
        <v>103</v>
      </c>
      <c r="C45" t="s">
        <v>826</v>
      </c>
      <c r="D45" t="s">
        <v>480</v>
      </c>
      <c r="E45" t="s">
        <v>891</v>
      </c>
      <c r="F45">
        <v>2014</v>
      </c>
      <c r="G45" s="1">
        <v>9.0856481481481485E-4</v>
      </c>
      <c r="H45" s="1">
        <v>9.7037037037037046E-4</v>
      </c>
      <c r="I45" s="1">
        <v>1.8789351851851853E-3</v>
      </c>
      <c r="K45">
        <v>121096</v>
      </c>
      <c r="L45" s="2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9.0856481481481485E-4</v>
      </c>
      <c r="M45" s="3">
        <f>IF(Table127163137496173109[[#This Row],[run 1 times]]="",999.99,IF(Table127163137496173109[[#This Row],[run 1 times]]=$S$3,0,MAX(0,ROUND(((Table127163137496173109[[#This Row],[run 1 times]]-$S$3)/$S$3)*$T$6,2))))</f>
        <v>277.93</v>
      </c>
      <c r="N45" s="2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9.7037037037037046E-4</v>
      </c>
      <c r="O45" s="3">
        <f>IF(Table127163137496173109[[#This Row],[run2 times]]="",999.99,IF(Table127163137496173109[[#This Row],[run2 times]]=$T$3,0,MAX(0,ROUND(((Table127163137496173109[[#This Row],[run2 times]]-$T$3)/$T$3)*$T$6,2))))</f>
        <v>244.12</v>
      </c>
      <c r="P45" s="2">
        <f>IF(OR(Table127163137496173109[[#This Row],[run 1 times]]="",Table127163137496173109[[#This Row],[run2 times]]=""),"",Table127163137496173109[[#This Row],[run 1 times]]+Table127163137496173109[[#This Row],[run2 times]])</f>
        <v>1.8789351851851853E-3</v>
      </c>
      <c r="Q45" s="3">
        <f>IF(Table127163137496173109[[#This Row],[total time]]="",999.99,IF(Table127163137496173109[[#This Row],[total time]]=$U$3,0,MAX(0,ROUND(((Table127163137496173109[[#This Row],[total time]]-$U$3)/$U$3)*$T$6,2))))</f>
        <v>260.25</v>
      </c>
    </row>
    <row r="46" spans="1:39" x14ac:dyDescent="0.3">
      <c r="A46">
        <v>27</v>
      </c>
      <c r="B46">
        <v>104</v>
      </c>
      <c r="C46" t="s">
        <v>223</v>
      </c>
      <c r="D46" t="s">
        <v>522</v>
      </c>
      <c r="E46" t="s">
        <v>672</v>
      </c>
      <c r="F46">
        <v>2013</v>
      </c>
      <c r="G46" s="1">
        <v>8.1018518518518516E-4</v>
      </c>
      <c r="H46" s="1">
        <v>9.2743055555555547E-4</v>
      </c>
      <c r="I46" s="1">
        <v>1.7376157407407407E-3</v>
      </c>
      <c r="K46">
        <v>105181</v>
      </c>
      <c r="L46" s="2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8.1018518518518516E-4</v>
      </c>
      <c r="M46" s="3">
        <f>IF(Table127163137496173109[[#This Row],[run 1 times]]="",999.99,IF(Table127163137496173109[[#This Row],[run 1 times]]=$S$3,0,MAX(0,ROUND(((Table127163137496173109[[#This Row],[run 1 times]]-$S$3)/$S$3)*$T$6,2))))</f>
        <v>138.47</v>
      </c>
      <c r="N46" s="2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9.2743055555555547E-4</v>
      </c>
      <c r="O46" s="3">
        <f>IF(Table127163137496173109[[#This Row],[run2 times]]="",999.99,IF(Table127163137496173109[[#This Row],[run2 times]]=$T$3,0,MAX(0,ROUND(((Table127163137496173109[[#This Row],[run2 times]]-$T$3)/$T$3)*$T$6,2))))</f>
        <v>188.63</v>
      </c>
      <c r="P46" s="2">
        <f>IF(OR(Table127163137496173109[[#This Row],[run 1 times]]="",Table127163137496173109[[#This Row],[run2 times]]=""),"",Table127163137496173109[[#This Row],[run 1 times]]+Table127163137496173109[[#This Row],[run2 times]])</f>
        <v>1.7376157407407405E-3</v>
      </c>
      <c r="Q46" s="3">
        <f>IF(Table127163137496173109[[#This Row],[total time]]="",999.99,IF(Table127163137496173109[[#This Row],[total time]]=$U$3,0,MAX(0,ROUND(((Table127163137496173109[[#This Row],[total time]]-$U$3)/$U$3)*$T$6,2))))</f>
        <v>164.71</v>
      </c>
    </row>
    <row r="47" spans="1:39" x14ac:dyDescent="0.3">
      <c r="A47">
        <v>26</v>
      </c>
      <c r="B47">
        <v>105</v>
      </c>
      <c r="C47" t="s">
        <v>257</v>
      </c>
      <c r="D47" t="s">
        <v>480</v>
      </c>
      <c r="E47" t="s">
        <v>892</v>
      </c>
      <c r="F47">
        <v>2014</v>
      </c>
      <c r="G47" s="1">
        <v>1.0399305555555554E-3</v>
      </c>
      <c r="H47" s="1">
        <v>1.1412037037037037E-3</v>
      </c>
      <c r="I47" s="1">
        <v>2.181134259259259E-3</v>
      </c>
      <c r="K47">
        <v>121964</v>
      </c>
      <c r="L47" s="2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1.0399305555555554E-3</v>
      </c>
      <c r="M47" s="3">
        <f>IF(Table127163137496173109[[#This Row],[run 1 times]]="",999.99,IF(Table127163137496173109[[#This Row],[run 1 times]]=$S$3,0,MAX(0,ROUND(((Table127163137496173109[[#This Row],[run 1 times]]-$S$3)/$S$3)*$T$6,2))))</f>
        <v>464.15</v>
      </c>
      <c r="N47" s="2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1.1412037037037037E-3</v>
      </c>
      <c r="O47" s="3">
        <f>IF(Table127163137496173109[[#This Row],[run2 times]]="",999.99,IF(Table127163137496173109[[#This Row],[run2 times]]=$T$3,0,MAX(0,ROUND(((Table127163137496173109[[#This Row],[run2 times]]-$T$3)/$T$3)*$T$6,2))))</f>
        <v>464.91</v>
      </c>
      <c r="P47" s="2">
        <f>IF(OR(Table127163137496173109[[#This Row],[run 1 times]]="",Table127163137496173109[[#This Row],[run2 times]]=""),"",Table127163137496173109[[#This Row],[run 1 times]]+Table127163137496173109[[#This Row],[run2 times]])</f>
        <v>2.1811342592592594E-3</v>
      </c>
      <c r="Q47" s="3">
        <f>IF(Table127163137496173109[[#This Row],[total time]]="",999.99,IF(Table127163137496173109[[#This Row],[total time]]=$U$3,0,MAX(0,ROUND(((Table127163137496173109[[#This Row],[total time]]-$U$3)/$U$3)*$T$6,2))))</f>
        <v>464.55</v>
      </c>
    </row>
    <row r="48" spans="1:39" x14ac:dyDescent="0.3">
      <c r="A48">
        <v>22</v>
      </c>
      <c r="B48">
        <v>58</v>
      </c>
      <c r="C48" t="s">
        <v>479</v>
      </c>
      <c r="D48" t="s">
        <v>522</v>
      </c>
      <c r="E48" t="s">
        <v>670</v>
      </c>
      <c r="F48">
        <v>2012</v>
      </c>
      <c r="G48" s="1" t="s">
        <v>512</v>
      </c>
      <c r="H48" s="1" t="s">
        <v>510</v>
      </c>
      <c r="I48" s="1"/>
      <c r="K48">
        <v>101431</v>
      </c>
      <c r="L48" s="2" t="str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48" s="3">
        <f>IF(Table127163137496173109[[#This Row],[run 1 times]]="",999.99,IF(Table127163137496173109[[#This Row],[run 1 times]]=$S$3,0,MAX(0,ROUND(((Table127163137496173109[[#This Row],[run 1 times]]-$S$3)/$S$3)*$T$6,2))))</f>
        <v>999.99</v>
      </c>
      <c r="N48" s="2" t="str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48" s="3">
        <f>IF(Table127163137496173109[[#This Row],[run2 times]]="",999.99,IF(Table127163137496173109[[#This Row],[run2 times]]=$T$3,0,MAX(0,ROUND(((Table127163137496173109[[#This Row],[run2 times]]-$T$3)/$T$3)*$T$6,2))))</f>
        <v>999.99</v>
      </c>
      <c r="P48" s="2" t="str">
        <f>IF(OR(Table127163137496173109[[#This Row],[run 1 times]]="",Table127163137496173109[[#This Row],[run2 times]]=""),"",Table127163137496173109[[#This Row],[run 1 times]]+Table127163137496173109[[#This Row],[run2 times]])</f>
        <v/>
      </c>
      <c r="Q48" s="3">
        <f>IF(Table127163137496173109[[#This Row],[total time]]="",999.99,IF(Table127163137496173109[[#This Row],[total time]]=$U$3,0,MAX(0,ROUND(((Table127163137496173109[[#This Row],[total time]]-$U$3)/$U$3)*$T$6,2))))</f>
        <v>999.99</v>
      </c>
    </row>
    <row r="49" spans="1:17" x14ac:dyDescent="0.3">
      <c r="A49">
        <v>5</v>
      </c>
      <c r="B49">
        <v>76</v>
      </c>
      <c r="C49" t="s">
        <v>24</v>
      </c>
      <c r="D49" t="s">
        <v>522</v>
      </c>
      <c r="E49" t="s">
        <v>893</v>
      </c>
      <c r="F49">
        <v>2013</v>
      </c>
      <c r="G49" s="1" t="s">
        <v>510</v>
      </c>
      <c r="H49" s="1" t="s">
        <v>510</v>
      </c>
      <c r="I49" s="1"/>
      <c r="K49">
        <v>102827</v>
      </c>
      <c r="L49" s="2" t="str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49" s="3">
        <f>IF(Table127163137496173109[[#This Row],[run 1 times]]="",999.99,IF(Table127163137496173109[[#This Row],[run 1 times]]=$S$3,0,MAX(0,ROUND(((Table127163137496173109[[#This Row],[run 1 times]]-$S$3)/$S$3)*$T$6,2))))</f>
        <v>999.99</v>
      </c>
      <c r="N49" s="2" t="str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49" s="3">
        <f>IF(Table127163137496173109[[#This Row],[run2 times]]="",999.99,IF(Table127163137496173109[[#This Row],[run2 times]]=$T$3,0,MAX(0,ROUND(((Table127163137496173109[[#This Row],[run2 times]]-$T$3)/$T$3)*$T$6,2))))</f>
        <v>999.99</v>
      </c>
      <c r="P49" s="2" t="str">
        <f>IF(OR(Table127163137496173109[[#This Row],[run 1 times]]="",Table127163137496173109[[#This Row],[run2 times]]=""),"",Table127163137496173109[[#This Row],[run 1 times]]+Table127163137496173109[[#This Row],[run2 times]])</f>
        <v/>
      </c>
      <c r="Q49" s="3">
        <f>IF(Table127163137496173109[[#This Row],[total time]]="",999.99,IF(Table127163137496173109[[#This Row],[total time]]=$U$3,0,MAX(0,ROUND(((Table127163137496173109[[#This Row],[total time]]-$U$3)/$U$3)*$T$6,2))))</f>
        <v>999.99</v>
      </c>
    </row>
    <row r="50" spans="1:17" x14ac:dyDescent="0.3">
      <c r="A50">
        <v>4</v>
      </c>
      <c r="B50">
        <v>77</v>
      </c>
      <c r="C50" t="s">
        <v>257</v>
      </c>
      <c r="D50" t="s">
        <v>480</v>
      </c>
      <c r="E50" t="s">
        <v>894</v>
      </c>
      <c r="F50">
        <v>2014</v>
      </c>
      <c r="G50" s="1" t="s">
        <v>510</v>
      </c>
      <c r="H50" s="1" t="s">
        <v>510</v>
      </c>
      <c r="I50" s="1"/>
      <c r="K50">
        <v>120666</v>
      </c>
      <c r="L50" s="2" t="str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50" s="3">
        <f>IF(Table127163137496173109[[#This Row],[run 1 times]]="",999.99,IF(Table127163137496173109[[#This Row],[run 1 times]]=$S$3,0,MAX(0,ROUND(((Table127163137496173109[[#This Row],[run 1 times]]-$S$3)/$S$3)*$T$6,2))))</f>
        <v>999.99</v>
      </c>
      <c r="N50" s="2" t="str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50" s="3">
        <f>IF(Table127163137496173109[[#This Row],[run2 times]]="",999.99,IF(Table127163137496173109[[#This Row],[run2 times]]=$T$3,0,MAX(0,ROUND(((Table127163137496173109[[#This Row],[run2 times]]-$T$3)/$T$3)*$T$6,2))))</f>
        <v>999.99</v>
      </c>
      <c r="P50" s="2" t="str">
        <f>IF(OR(Table127163137496173109[[#This Row],[run 1 times]]="",Table127163137496173109[[#This Row],[run2 times]]=""),"",Table127163137496173109[[#This Row],[run 1 times]]+Table127163137496173109[[#This Row],[run2 times]])</f>
        <v/>
      </c>
      <c r="Q50" s="3">
        <f>IF(Table127163137496173109[[#This Row],[total time]]="",999.99,IF(Table127163137496173109[[#This Row],[total time]]=$U$3,0,MAX(0,ROUND(((Table127163137496173109[[#This Row],[total time]]-$U$3)/$U$3)*$T$6,2))))</f>
        <v>999.99</v>
      </c>
    </row>
    <row r="51" spans="1:17" x14ac:dyDescent="0.3">
      <c r="A51">
        <v>3</v>
      </c>
      <c r="B51">
        <v>78</v>
      </c>
      <c r="C51" t="s">
        <v>851</v>
      </c>
      <c r="D51" t="s">
        <v>522</v>
      </c>
      <c r="E51" t="s">
        <v>895</v>
      </c>
      <c r="F51">
        <v>2012</v>
      </c>
      <c r="G51" s="1" t="s">
        <v>510</v>
      </c>
      <c r="H51" s="1" t="s">
        <v>510</v>
      </c>
      <c r="I51" s="1"/>
      <c r="K51">
        <v>7104913</v>
      </c>
      <c r="L51" s="2" t="str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51" s="3">
        <f>IF(Table127163137496173109[[#This Row],[run 1 times]]="",999.99,IF(Table127163137496173109[[#This Row],[run 1 times]]=$S$3,0,MAX(0,ROUND(((Table127163137496173109[[#This Row],[run 1 times]]-$S$3)/$S$3)*$T$6,2))))</f>
        <v>999.99</v>
      </c>
      <c r="N51" s="2" t="str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51" s="3">
        <f>IF(Table127163137496173109[[#This Row],[run2 times]]="",999.99,IF(Table127163137496173109[[#This Row],[run2 times]]=$T$3,0,MAX(0,ROUND(((Table127163137496173109[[#This Row],[run2 times]]-$T$3)/$T$3)*$T$6,2))))</f>
        <v>999.99</v>
      </c>
      <c r="P51" s="2" t="str">
        <f>IF(OR(Table127163137496173109[[#This Row],[run 1 times]]="",Table127163137496173109[[#This Row],[run2 times]]=""),"",Table127163137496173109[[#This Row],[run 1 times]]+Table127163137496173109[[#This Row],[run2 times]])</f>
        <v/>
      </c>
      <c r="Q51" s="3">
        <f>IF(Table127163137496173109[[#This Row],[total time]]="",999.99,IF(Table127163137496173109[[#This Row],[total time]]=$U$3,0,MAX(0,ROUND(((Table127163137496173109[[#This Row],[total time]]-$U$3)/$U$3)*$T$6,2))))</f>
        <v>999.99</v>
      </c>
    </row>
    <row r="52" spans="1:17" x14ac:dyDescent="0.3">
      <c r="A52">
        <v>34</v>
      </c>
      <c r="B52">
        <v>97</v>
      </c>
      <c r="C52" t="s">
        <v>487</v>
      </c>
      <c r="D52" t="s">
        <v>480</v>
      </c>
      <c r="E52" t="s">
        <v>896</v>
      </c>
      <c r="F52">
        <v>2014</v>
      </c>
      <c r="G52" s="1" t="s">
        <v>512</v>
      </c>
      <c r="H52" s="1" t="s">
        <v>510</v>
      </c>
      <c r="I52" s="1"/>
      <c r="K52">
        <v>121269</v>
      </c>
      <c r="L52" s="2" t="str">
        <f>_xlfn.LET(_xlpm.x,Table127163137496173109[[#This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52" s="3">
        <f>IF(Table127163137496173109[[#This Row],[run 1 times]]="",999.99,IF(Table127163137496173109[[#This Row],[run 1 times]]=$S$3,0,MAX(0,ROUND(((Table127163137496173109[[#This Row],[run 1 times]]-$S$3)/$S$3)*$T$6,2))))</f>
        <v>999.99</v>
      </c>
      <c r="N52" s="2" t="str">
        <f>_xlfn.LET(_xlpm.x,Table127163137496173109[[#This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52" s="3">
        <f>IF(Table127163137496173109[[#This Row],[run2 times]]="",999.99,IF(Table127163137496173109[[#This Row],[run2 times]]=$T$3,0,MAX(0,ROUND(((Table127163137496173109[[#This Row],[run2 times]]-$T$3)/$T$3)*$T$6,2))))</f>
        <v>999.99</v>
      </c>
      <c r="P52" s="2" t="str">
        <f>IF(OR(Table127163137496173109[[#This Row],[run 1 times]]="",Table127163137496173109[[#This Row],[run2 times]]=""),"",Table127163137496173109[[#This Row],[run 1 times]]+Table127163137496173109[[#This Row],[run2 times]])</f>
        <v/>
      </c>
      <c r="Q52" s="3">
        <f>IF(Table127163137496173109[[#This Row],[total time]]="",999.99,IF(Table127163137496173109[[#This Row],[total time]]=$U$3,0,MAX(0,ROUND(((Table127163137496173109[[#This Row],[total time]]-$U$3)/$U$3)*$T$6,2))))</f>
        <v>999.99</v>
      </c>
    </row>
  </sheetData>
  <mergeCells count="2">
    <mergeCell ref="A1:U1"/>
    <mergeCell ref="W1:AQ1"/>
  </mergeCells>
  <pageMargins left="0.7" right="0.7" top="0.75" bottom="0.75" header="0.3" footer="0.3"/>
  <tableParts count="6">
    <tablePart r:id="rId1"/>
    <tablePart r:id="rId2"/>
    <tablePart r:id="rId3"/>
    <tablePart r:id="rId4"/>
    <tablePart r:id="rId5"/>
    <tablePart r:id="rId6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C336F-B7EA-494B-B1EF-97C80F406BE2}">
  <dimension ref="A1:AQ36"/>
  <sheetViews>
    <sheetView topLeftCell="B1" workbookViewId="0">
      <selection activeCell="W3" sqref="W3:AG22"/>
    </sheetView>
  </sheetViews>
  <sheetFormatPr defaultRowHeight="14.4" x14ac:dyDescent="0.3"/>
  <cols>
    <col min="1" max="1" width="13.5546875" customWidth="1"/>
    <col min="3" max="3" width="12.109375" customWidth="1"/>
    <col min="5" max="5" width="14.88671875" bestFit="1" customWidth="1"/>
    <col min="6" max="6" width="12.5546875" customWidth="1"/>
    <col min="7" max="7" width="15.21875" customWidth="1"/>
    <col min="8" max="8" width="17.6640625" customWidth="1"/>
    <col min="9" max="9" width="16.44140625" customWidth="1"/>
    <col min="10" max="10" width="12.21875" customWidth="1"/>
    <col min="11" max="11" width="13.109375" customWidth="1"/>
    <col min="12" max="12" width="11.6640625" customWidth="1"/>
    <col min="13" max="13" width="12.109375" customWidth="1"/>
    <col min="14" max="14" width="11.33203125" customWidth="1"/>
    <col min="15" max="15" width="12.109375" customWidth="1"/>
    <col min="16" max="16" width="10.33203125" customWidth="1"/>
    <col min="17" max="17" width="13.88671875" customWidth="1"/>
    <col min="19" max="19" width="14.5546875" customWidth="1"/>
    <col min="20" max="20" width="15.5546875" customWidth="1"/>
    <col min="21" max="21" width="18.5546875" customWidth="1"/>
  </cols>
  <sheetData>
    <row r="1" spans="1:43" ht="21" x14ac:dyDescent="0.4">
      <c r="A1" s="8" t="s">
        <v>596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W1" s="8" t="s">
        <v>595</v>
      </c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</row>
    <row r="2" spans="1:43" x14ac:dyDescent="0.3">
      <c r="A2" t="s">
        <v>459</v>
      </c>
      <c r="B2" t="s">
        <v>460</v>
      </c>
      <c r="C2" t="s">
        <v>461</v>
      </c>
      <c r="D2" t="s">
        <v>462</v>
      </c>
      <c r="E2" t="s">
        <v>463</v>
      </c>
      <c r="F2" t="s">
        <v>464</v>
      </c>
      <c r="G2" t="s">
        <v>465</v>
      </c>
      <c r="H2" t="s">
        <v>466</v>
      </c>
      <c r="I2" t="s">
        <v>467</v>
      </c>
      <c r="J2" t="s">
        <v>468</v>
      </c>
      <c r="K2" t="s">
        <v>469</v>
      </c>
      <c r="L2" t="s">
        <v>470</v>
      </c>
      <c r="M2" t="s">
        <v>471</v>
      </c>
      <c r="N2" t="s">
        <v>472</v>
      </c>
      <c r="O2" t="s">
        <v>473</v>
      </c>
      <c r="P2" t="s">
        <v>474</v>
      </c>
      <c r="Q2" t="s">
        <v>475</v>
      </c>
      <c r="S2" t="s">
        <v>476</v>
      </c>
      <c r="T2" t="s">
        <v>477</v>
      </c>
      <c r="U2" t="s">
        <v>478</v>
      </c>
      <c r="W2" t="s">
        <v>459</v>
      </c>
      <c r="X2" t="s">
        <v>460</v>
      </c>
      <c r="Y2" t="s">
        <v>461</v>
      </c>
      <c r="Z2" t="s">
        <v>462</v>
      </c>
      <c r="AA2" t="s">
        <v>463</v>
      </c>
      <c r="AB2" t="s">
        <v>464</v>
      </c>
      <c r="AC2" t="s">
        <v>465</v>
      </c>
      <c r="AD2" t="s">
        <v>466</v>
      </c>
      <c r="AE2" t="s">
        <v>467</v>
      </c>
      <c r="AF2" t="s">
        <v>468</v>
      </c>
      <c r="AG2" t="s">
        <v>469</v>
      </c>
      <c r="AH2" t="s">
        <v>470</v>
      </c>
      <c r="AI2" t="s">
        <v>471</v>
      </c>
      <c r="AJ2" t="s">
        <v>472</v>
      </c>
      <c r="AK2" t="s">
        <v>473</v>
      </c>
      <c r="AL2" t="s">
        <v>474</v>
      </c>
      <c r="AM2" t="s">
        <v>475</v>
      </c>
      <c r="AO2" t="s">
        <v>476</v>
      </c>
      <c r="AP2" t="s">
        <v>477</v>
      </c>
      <c r="AQ2" t="s">
        <v>478</v>
      </c>
    </row>
    <row r="3" spans="1:43" x14ac:dyDescent="0.3">
      <c r="A3">
        <v>8</v>
      </c>
      <c r="B3">
        <v>25</v>
      </c>
      <c r="C3" t="s">
        <v>223</v>
      </c>
      <c r="D3" t="s">
        <v>480</v>
      </c>
      <c r="E3" t="s">
        <v>483</v>
      </c>
      <c r="G3">
        <v>54.29</v>
      </c>
      <c r="H3">
        <v>54.96</v>
      </c>
      <c r="I3" s="5">
        <v>1.2644675925925926E-3</v>
      </c>
      <c r="K3">
        <v>111248</v>
      </c>
      <c r="L3" s="2">
        <f>_xlfn.LET(_xlpm.x,Table1271631435567[[#This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6.2835648148148147E-4</v>
      </c>
      <c r="M3" s="3">
        <f>IF(Table1271631435567[[#This Row],[run 1 times]]="",999.99,IF(Table1271631435567[[#This Row],[run 1 times]]=$S$3,0,MAX(0,ROUND(((Table1271631435567[[#This Row],[run 1 times]]-$S$3)/$S$3)*$T$6,2))))</f>
        <v>92.39</v>
      </c>
      <c r="N3" s="2">
        <f>_xlfn.LET(_xlpm.x,Table1271631435567[[#This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6.3611111111111117E-4</v>
      </c>
      <c r="O3" s="3">
        <f>IF(Table1271631435567[[#This Row],[run2 times]]="",999.99,IF(Table1271631435567[[#This Row],[run2 times]]=$T$3,0,MAX(0,ROUND(((Table1271631435567[[#This Row],[run2 times]]-$T$3)/$T$3)*$T$6,2))))</f>
        <v>92.69</v>
      </c>
      <c r="P3" s="2">
        <f>IF(OR(Table1271631435567[[#This Row],[run 1 times]]="",Table1271631435567[[#This Row],[run2 times]]=""),"",Table1271631435567[[#This Row],[run 1 times]]+Table1271631435567[[#This Row],[run2 times]])</f>
        <v>1.2644675925925926E-3</v>
      </c>
      <c r="Q3" s="3">
        <f>IF(Table1271631435567[[#This Row],[total time]]="",999.99,IF(Table1271631435567[[#This Row],[total time]]=$U$3,0,MAX(0,ROUND(((Table1271631435567[[#This Row],[total time]]-$U$3)/$U$3)*$T$6,2))))</f>
        <v>92.54</v>
      </c>
      <c r="S3" s="1">
        <f>MIN(Table1271631435567[run 1 times])</f>
        <v>5.7569444444444443E-4</v>
      </c>
      <c r="T3" s="1">
        <f>MIN(Table1271631435567[run2 times])</f>
        <v>5.8263888888888894E-4</v>
      </c>
      <c r="U3" s="1">
        <f>MIN(Table1271631435567[total time])</f>
        <v>1.1583333333333333E-3</v>
      </c>
      <c r="W3">
        <v>18</v>
      </c>
      <c r="X3">
        <v>67</v>
      </c>
      <c r="Y3" t="s">
        <v>24</v>
      </c>
      <c r="Z3" t="s">
        <v>547</v>
      </c>
      <c r="AA3" t="s">
        <v>565</v>
      </c>
      <c r="AB3">
        <v>2011</v>
      </c>
      <c r="AC3">
        <v>45.68</v>
      </c>
      <c r="AD3">
        <v>50.24</v>
      </c>
      <c r="AE3" s="5">
        <v>1.1101851851851852E-3</v>
      </c>
      <c r="AG3">
        <v>89752</v>
      </c>
      <c r="AH3" s="2">
        <f>_xlfn.LET(_xlpm.x,Table1221101934465870[[#This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5.2870370370370365E-4</v>
      </c>
      <c r="AI3" s="3">
        <f>IF(Table1221101934465870[[#This Row],[run 1 times]]="",999.99,IF(Table1221101934465870[[#This Row],[run 1 times]]=$AO$3,0,MAX(0,ROUND(((Table1221101934465870[[#This Row],[run 1 times]]-$AO$3)/$AO$3)*$AO$6,2))))</f>
        <v>0</v>
      </c>
      <c r="AJ3" s="2">
        <f>_xlfn.LET(_xlpm.x,Table1221101934465870[[#This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5.8148148148148154E-4</v>
      </c>
      <c r="AK3" s="3">
        <f>IF(Table1221101934465870[[#This Row],[run2 times]]="",999.99,IF(Table1221101934465870[[#This Row],[run2 times]]=$AP$3,0,MAX(0,ROUND(((Table1221101934465870[[#This Row],[run2 times]]-$AP$3)/$AP$3)*$AO$6,2))))</f>
        <v>13.77</v>
      </c>
      <c r="AL3" s="2">
        <f>IF(OR(Table1221101934465870[[#This Row],[run 1 times]]="",Table1221101934465870[[#This Row],[run2 times]]=""),"",Table1221101934465870[[#This Row],[run 1 times]]+Table1221101934465870[[#This Row],[run2 times]])</f>
        <v>1.1101851851851852E-3</v>
      </c>
      <c r="AM3" s="3">
        <f>IF(Table1221101934465870[[#This Row],[total time]]="",999.99,IF(Table1221101934465870[[#This Row],[total time]]=$AQ$3,0,MAX(0,ROUND(((Table1221101934465870[[#This Row],[total time]]-$AQ$3)/$AQ$3)*$AO$6,2))))</f>
        <v>0</v>
      </c>
      <c r="AO3" s="1">
        <f>MIN(Table1221101934465870[run 1 times])</f>
        <v>5.2870370370370365E-4</v>
      </c>
      <c r="AP3" s="1">
        <f>MIN(Table1221101934465870[run2 times])</f>
        <v>5.7071759259259261E-4</v>
      </c>
      <c r="AQ3" s="1">
        <f>MIN(Table1221101934465870[total time])</f>
        <v>1.1101851851851852E-3</v>
      </c>
    </row>
    <row r="4" spans="1:43" x14ac:dyDescent="0.3">
      <c r="A4">
        <v>10</v>
      </c>
      <c r="B4">
        <v>27</v>
      </c>
      <c r="C4" t="s">
        <v>373</v>
      </c>
      <c r="D4" t="s">
        <v>480</v>
      </c>
      <c r="E4" t="s">
        <v>502</v>
      </c>
      <c r="F4">
        <v>2014</v>
      </c>
      <c r="G4">
        <v>54.69</v>
      </c>
      <c r="H4">
        <v>56.94</v>
      </c>
      <c r="I4" s="5">
        <v>1.2920138888888888E-3</v>
      </c>
      <c r="K4">
        <v>122059</v>
      </c>
      <c r="L4" s="2">
        <f>_xlfn.LET(_xlpm.x,Table1271631435567[[#This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6.3298611111111108E-4</v>
      </c>
      <c r="M4" s="3">
        <f>IF(Table1271631435567[[#This Row],[run 1 times]]="",999.99,IF(Table1271631435567[[#This Row],[run 1 times]]=$S$3,0,MAX(0,ROUND(((Table1271631435567[[#This Row],[run 1 times]]-$S$3)/$S$3)*$T$6,2))))</f>
        <v>100.51</v>
      </c>
      <c r="N4" s="2">
        <f>_xlfn.LET(_xlpm.x,Table1271631435567[[#This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6.590277777777778E-4</v>
      </c>
      <c r="O4" s="3">
        <f>IF(Table1271631435567[[#This Row],[run2 times]]="",999.99,IF(Table1271631435567[[#This Row],[run2 times]]=$T$3,0,MAX(0,ROUND(((Table1271631435567[[#This Row],[run2 times]]-$T$3)/$T$3)*$T$6,2))))</f>
        <v>132.41999999999999</v>
      </c>
      <c r="P4" s="2">
        <f>IF(OR(Table1271631435567[[#This Row],[run 1 times]]="",Table1271631435567[[#This Row],[run2 times]]=""),"",Table1271631435567[[#This Row],[run 1 times]]+Table1271631435567[[#This Row],[run2 times]])</f>
        <v>1.292013888888889E-3</v>
      </c>
      <c r="Q4" s="3">
        <f>IF(Table1271631435567[[#This Row],[total time]]="",999.99,IF(Table1271631435567[[#This Row],[total time]]=$U$3,0,MAX(0,ROUND(((Table1271631435567[[#This Row],[total time]]-$U$3)/$U$3)*$T$6,2))))</f>
        <v>116.56</v>
      </c>
      <c r="W4">
        <v>13</v>
      </c>
      <c r="X4">
        <v>72</v>
      </c>
      <c r="Y4" t="s">
        <v>24</v>
      </c>
      <c r="Z4" t="s">
        <v>547</v>
      </c>
      <c r="AA4" t="s">
        <v>568</v>
      </c>
      <c r="AB4">
        <v>2010</v>
      </c>
      <c r="AC4">
        <v>46.57</v>
      </c>
      <c r="AD4">
        <v>50.13</v>
      </c>
      <c r="AE4" s="5">
        <v>1.1192129629629629E-3</v>
      </c>
      <c r="AG4">
        <v>104647</v>
      </c>
      <c r="AH4" s="2">
        <f>_xlfn.LET(_xlpm.x,Table1221101934465870[[#This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5.3900462962962962E-4</v>
      </c>
      <c r="AI4" s="3">
        <f>IF(Table1221101934465870[[#This Row],[run 1 times]]="",999.99,IF(Table1221101934465870[[#This Row],[run 1 times]]=$AO$3,0,MAX(0,ROUND(((Table1221101934465870[[#This Row],[run 1 times]]-$AO$3)/$AO$3)*$AO$6,2))))</f>
        <v>14.22</v>
      </c>
      <c r="AJ4" s="2">
        <f>_xlfn.LET(_xlpm.x,Table1221101934465870[[#This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5.802083333333334E-4</v>
      </c>
      <c r="AK4" s="3">
        <f>IF(Table1221101934465870[[#This Row],[run2 times]]="",999.99,IF(Table1221101934465870[[#This Row],[run2 times]]=$AP$3,0,MAX(0,ROUND(((Table1221101934465870[[#This Row],[run2 times]]-$AP$3)/$AP$3)*$AO$6,2))))</f>
        <v>12.14</v>
      </c>
      <c r="AL4" s="2">
        <f>IF(OR(Table1221101934465870[[#This Row],[run 1 times]]="",Table1221101934465870[[#This Row],[run2 times]]=""),"",Table1221101934465870[[#This Row],[run 1 times]]+Table1221101934465870[[#This Row],[run2 times]])</f>
        <v>1.1192129629629629E-3</v>
      </c>
      <c r="AM4" s="3">
        <f>IF(Table1221101934465870[[#This Row],[total time]]="",999.99,IF(Table1221101934465870[[#This Row],[total time]]=$AQ$3,0,MAX(0,ROUND(((Table1221101934465870[[#This Row],[total time]]-$AQ$3)/$AQ$3)*$AO$6,2))))</f>
        <v>5.94</v>
      </c>
    </row>
    <row r="5" spans="1:43" x14ac:dyDescent="0.3">
      <c r="A5">
        <v>21</v>
      </c>
      <c r="B5">
        <v>4</v>
      </c>
      <c r="C5" t="s">
        <v>223</v>
      </c>
      <c r="D5" t="s">
        <v>480</v>
      </c>
      <c r="E5" t="s">
        <v>501</v>
      </c>
      <c r="G5">
        <v>57.14</v>
      </c>
      <c r="H5">
        <v>57.44</v>
      </c>
      <c r="I5" s="5">
        <v>1.3261574074074074E-3</v>
      </c>
      <c r="K5">
        <v>107911</v>
      </c>
      <c r="L5" s="2">
        <f>_xlfn.LET(_xlpm.x,Table1271631435567[[#This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6.613425925925926E-4</v>
      </c>
      <c r="M5" s="3">
        <f>IF(Table1271631435567[[#This Row],[run 1 times]]="",999.99,IF(Table1271631435567[[#This Row],[run 1 times]]=$S$3,0,MAX(0,ROUND(((Table1271631435567[[#This Row],[run 1 times]]-$S$3)/$S$3)*$T$6,2))))</f>
        <v>150.26</v>
      </c>
      <c r="N5" s="2">
        <f>_xlfn.LET(_xlpm.x,Table1271631435567[[#This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6.648148148148148E-4</v>
      </c>
      <c r="O5" s="3">
        <f>IF(Table1271631435567[[#This Row],[run2 times]]="",999.99,IF(Table1271631435567[[#This Row],[run2 times]]=$T$3,0,MAX(0,ROUND(((Table1271631435567[[#This Row],[run2 times]]-$T$3)/$T$3)*$T$6,2))))</f>
        <v>142.44999999999999</v>
      </c>
      <c r="P5" s="2">
        <f>IF(OR(Table1271631435567[[#This Row],[run 1 times]]="",Table1271631435567[[#This Row],[run2 times]]=""),"",Table1271631435567[[#This Row],[run 1 times]]+Table1271631435567[[#This Row],[run2 times]])</f>
        <v>1.3261574074074074E-3</v>
      </c>
      <c r="Q5" s="3">
        <f>IF(Table1271631435567[[#This Row],[total time]]="",999.99,IF(Table1271631435567[[#This Row],[total time]]=$U$3,0,MAX(0,ROUND(((Table1271631435567[[#This Row],[total time]]-$U$3)/$U$3)*$T$6,2))))</f>
        <v>146.33000000000001</v>
      </c>
      <c r="S5" t="s">
        <v>484</v>
      </c>
      <c r="T5" t="s">
        <v>485</v>
      </c>
      <c r="U5" t="s">
        <v>486</v>
      </c>
      <c r="W5">
        <v>14</v>
      </c>
      <c r="X5">
        <v>71</v>
      </c>
      <c r="Y5" t="s">
        <v>223</v>
      </c>
      <c r="Z5" t="s">
        <v>547</v>
      </c>
      <c r="AA5" t="s">
        <v>574</v>
      </c>
      <c r="AB5">
        <v>2010</v>
      </c>
      <c r="AC5">
        <v>51.05</v>
      </c>
      <c r="AD5">
        <v>49.31</v>
      </c>
      <c r="AE5" s="5">
        <v>1.161574074074074E-3</v>
      </c>
      <c r="AG5">
        <v>93284</v>
      </c>
      <c r="AH5" s="2">
        <f>_xlfn.LET(_xlpm.x,Table1221101934465870[[#This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5.9085648148148148E-4</v>
      </c>
      <c r="AI5" s="3">
        <f>IF(Table1221101934465870[[#This Row],[run 1 times]]="",999.99,IF(Table1221101934465870[[#This Row],[run 1 times]]=$AO$3,0,MAX(0,ROUND(((Table1221101934465870[[#This Row],[run 1 times]]-$AO$3)/$AO$3)*$AO$6,2))))</f>
        <v>85.82</v>
      </c>
      <c r="AJ5" s="2">
        <f>_xlfn.LET(_xlpm.x,Table1221101934465870[[#This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5.7071759259259261E-4</v>
      </c>
      <c r="AK5" s="3">
        <f>IF(Table1221101934465870[[#This Row],[run2 times]]="",999.99,IF(Table1221101934465870[[#This Row],[run2 times]]=$AP$3,0,MAX(0,ROUND(((Table1221101934465870[[#This Row],[run2 times]]-$AP$3)/$AP$3)*$AO$6,2))))</f>
        <v>0</v>
      </c>
      <c r="AL5" s="2">
        <f>IF(OR(Table1221101934465870[[#This Row],[run 1 times]]="",Table1221101934465870[[#This Row],[run2 times]]=""),"",Table1221101934465870[[#This Row],[run 1 times]]+Table1221101934465870[[#This Row],[run2 times]])</f>
        <v>1.161574074074074E-3</v>
      </c>
      <c r="AM5" s="3">
        <f>IF(Table1221101934465870[[#This Row],[total time]]="",999.99,IF(Table1221101934465870[[#This Row],[total time]]=$AQ$3,0,MAX(0,ROUND(((Table1221101934465870[[#This Row],[total time]]-$AQ$3)/$AQ$3)*$AO$6,2))))</f>
        <v>33.79</v>
      </c>
      <c r="AO5" t="s">
        <v>484</v>
      </c>
      <c r="AP5" t="s">
        <v>485</v>
      </c>
      <c r="AQ5" t="s">
        <v>486</v>
      </c>
    </row>
    <row r="6" spans="1:43" x14ac:dyDescent="0.3">
      <c r="A6">
        <v>31</v>
      </c>
      <c r="B6">
        <v>14</v>
      </c>
      <c r="C6" t="s">
        <v>257</v>
      </c>
      <c r="D6" t="s">
        <v>480</v>
      </c>
      <c r="E6" t="s">
        <v>511</v>
      </c>
      <c r="G6">
        <v>59.33</v>
      </c>
      <c r="H6">
        <v>57.25</v>
      </c>
      <c r="I6" s="5">
        <v>1.3493055555555556E-3</v>
      </c>
      <c r="K6">
        <v>120667</v>
      </c>
      <c r="L6" s="2">
        <f>_xlfn.LET(_xlpm.x,Table1271631435567[[#This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6.8668981481481478E-4</v>
      </c>
      <c r="M6" s="3">
        <f>IF(Table1271631435567[[#This Row],[run 1 times]]="",999.99,IF(Table1271631435567[[#This Row],[run 1 times]]=$S$3,0,MAX(0,ROUND(((Table1271631435567[[#This Row],[run 1 times]]-$S$3)/$S$3)*$T$6,2))))</f>
        <v>194.73</v>
      </c>
      <c r="N6" s="2">
        <f>_xlfn.LET(_xlpm.x,Table1271631435567[[#This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6.6261574074074074E-4</v>
      </c>
      <c r="O6" s="3">
        <f>IF(Table1271631435567[[#This Row],[run2 times]]="",999.99,IF(Table1271631435567[[#This Row],[run2 times]]=$T$3,0,MAX(0,ROUND(((Table1271631435567[[#This Row],[run2 times]]-$T$3)/$T$3)*$T$6,2))))</f>
        <v>138.63999999999999</v>
      </c>
      <c r="P6" s="2">
        <f>IF(OR(Table1271631435567[[#This Row],[run 1 times]]="",Table1271631435567[[#This Row],[run2 times]]=""),"",Table1271631435567[[#This Row],[run 1 times]]+Table1271631435567[[#This Row],[run2 times]])</f>
        <v>1.3493055555555554E-3</v>
      </c>
      <c r="Q6" s="3">
        <f>IF(Table1271631435567[[#This Row],[total time]]="",999.99,IF(Table1271631435567[[#This Row],[total time]]=$U$3,0,MAX(0,ROUND(((Table1271631435567[[#This Row],[total time]]-$U$3)/$U$3)*$T$6,2))))</f>
        <v>166.52</v>
      </c>
      <c r="S6">
        <v>730</v>
      </c>
      <c r="T6">
        <v>1010</v>
      </c>
      <c r="U6">
        <v>1190</v>
      </c>
      <c r="W6">
        <v>5</v>
      </c>
      <c r="X6">
        <v>60</v>
      </c>
      <c r="Y6" t="s">
        <v>257</v>
      </c>
      <c r="Z6" t="s">
        <v>547</v>
      </c>
      <c r="AA6" t="s">
        <v>576</v>
      </c>
      <c r="AB6">
        <v>2010</v>
      </c>
      <c r="AC6">
        <v>48.99</v>
      </c>
      <c r="AD6">
        <v>51.59</v>
      </c>
      <c r="AE6" s="5">
        <v>1.1641203703703703E-3</v>
      </c>
      <c r="AG6">
        <v>92169</v>
      </c>
      <c r="AH6" s="2">
        <f>_xlfn.LET(_xlpm.x,Table1221101934465870[[#This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5.6701388888888893E-4</v>
      </c>
      <c r="AI6" s="3">
        <f>IF(Table1221101934465870[[#This Row],[run 1 times]]="",999.99,IF(Table1221101934465870[[#This Row],[run 1 times]]=$AO$3,0,MAX(0,ROUND(((Table1221101934465870[[#This Row],[run 1 times]]-$AO$3)/$AO$3)*$AO$6,2))))</f>
        <v>52.9</v>
      </c>
      <c r="AJ6" s="2">
        <f>_xlfn.LET(_xlpm.x,Table1221101934465870[[#This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5.9710648148148155E-4</v>
      </c>
      <c r="AK6" s="3">
        <f>IF(Table1221101934465870[[#This Row],[run2 times]]="",999.99,IF(Table1221101934465870[[#This Row],[run2 times]]=$AP$3,0,MAX(0,ROUND(((Table1221101934465870[[#This Row],[run2 times]]-$AP$3)/$AP$3)*$AO$6,2))))</f>
        <v>33.75</v>
      </c>
      <c r="AL6" s="2">
        <f>IF(OR(Table1221101934465870[[#This Row],[run 1 times]]="",Table1221101934465870[[#This Row],[run2 times]]=""),"",Table1221101934465870[[#This Row],[run 1 times]]+Table1221101934465870[[#This Row],[run2 times]])</f>
        <v>1.1641203703703705E-3</v>
      </c>
      <c r="AM6" s="3">
        <f>IF(Table1221101934465870[[#This Row],[total time]]="",999.99,IF(Table1221101934465870[[#This Row],[total time]]=$AQ$3,0,MAX(0,ROUND(((Table1221101934465870[[#This Row],[total time]]-$AQ$3)/$AQ$3)*$AO$6,2))))</f>
        <v>35.46</v>
      </c>
      <c r="AO6">
        <v>730</v>
      </c>
      <c r="AP6">
        <v>1010</v>
      </c>
      <c r="AQ6">
        <v>1190</v>
      </c>
    </row>
    <row r="7" spans="1:43" x14ac:dyDescent="0.3">
      <c r="A7">
        <v>22</v>
      </c>
      <c r="B7">
        <v>5</v>
      </c>
      <c r="C7" t="s">
        <v>257</v>
      </c>
      <c r="D7" t="s">
        <v>480</v>
      </c>
      <c r="E7" t="s">
        <v>861</v>
      </c>
      <c r="G7">
        <v>59.21</v>
      </c>
      <c r="H7">
        <v>57.87</v>
      </c>
      <c r="I7" s="5">
        <v>1.3550925925925926E-3</v>
      </c>
      <c r="K7">
        <v>120660</v>
      </c>
      <c r="L7" s="2">
        <f>_xlfn.LET(_xlpm.x,Table1271631435567[[#This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6.853009259259259E-4</v>
      </c>
      <c r="M7" s="3">
        <f>IF(Table1271631435567[[#This Row],[run 1 times]]="",999.99,IF(Table1271631435567[[#This Row],[run 1 times]]=$S$3,0,MAX(0,ROUND(((Table1271631435567[[#This Row],[run 1 times]]-$S$3)/$S$3)*$T$6,2))))</f>
        <v>192.29</v>
      </c>
      <c r="N7" s="2">
        <f>_xlfn.LET(_xlpm.x,Table1271631435567[[#This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6.6979166666666663E-4</v>
      </c>
      <c r="O7" s="3">
        <f>IF(Table1271631435567[[#This Row],[run2 times]]="",999.99,IF(Table1271631435567[[#This Row],[run2 times]]=$T$3,0,MAX(0,ROUND(((Table1271631435567[[#This Row],[run2 times]]-$T$3)/$T$3)*$T$6,2))))</f>
        <v>151.08000000000001</v>
      </c>
      <c r="P7" s="2">
        <f>IF(OR(Table1271631435567[[#This Row],[run 1 times]]="",Table1271631435567[[#This Row],[run2 times]]=""),"",Table1271631435567[[#This Row],[run 1 times]]+Table1271631435567[[#This Row],[run2 times]])</f>
        <v>1.3550925925925926E-3</v>
      </c>
      <c r="Q7" s="3">
        <f>IF(Table1271631435567[[#This Row],[total time]]="",999.99,IF(Table1271631435567[[#This Row],[total time]]=$U$3,0,MAX(0,ROUND(((Table1271631435567[[#This Row],[total time]]-$U$3)/$U$3)*$T$6,2))))</f>
        <v>171.56</v>
      </c>
      <c r="W7">
        <v>17</v>
      </c>
      <c r="X7">
        <v>68</v>
      </c>
      <c r="Y7" t="s">
        <v>257</v>
      </c>
      <c r="Z7" t="s">
        <v>547</v>
      </c>
      <c r="AA7" t="s">
        <v>570</v>
      </c>
      <c r="AB7">
        <v>2010</v>
      </c>
      <c r="AC7">
        <v>49.07</v>
      </c>
      <c r="AD7">
        <v>53.08</v>
      </c>
      <c r="AE7" s="5">
        <v>1.1822916666666668E-3</v>
      </c>
      <c r="AG7">
        <v>102723</v>
      </c>
      <c r="AH7" s="2">
        <f>_xlfn.LET(_xlpm.x,Table1221101934465870[[#This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5.6793981481481485E-4</v>
      </c>
      <c r="AI7" s="3">
        <f>IF(Table1221101934465870[[#This Row],[run 1 times]]="",999.99,IF(Table1221101934465870[[#This Row],[run 1 times]]=$AO$3,0,MAX(0,ROUND(((Table1221101934465870[[#This Row],[run 1 times]]-$AO$3)/$AO$3)*$AO$6,2))))</f>
        <v>54.17</v>
      </c>
      <c r="AJ7" s="2">
        <f>_xlfn.LET(_xlpm.x,Table1221101934465870[[#This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6.1435185185185182E-4</v>
      </c>
      <c r="AK7" s="3">
        <f>IF(Table1221101934465870[[#This Row],[run2 times]]="",999.99,IF(Table1221101934465870[[#This Row],[run2 times]]=$AP$3,0,MAX(0,ROUND(((Table1221101934465870[[#This Row],[run2 times]]-$AP$3)/$AP$3)*$AO$6,2))))</f>
        <v>55.81</v>
      </c>
      <c r="AL7" s="2">
        <f>IF(OR(Table1221101934465870[[#This Row],[run 1 times]]="",Table1221101934465870[[#This Row],[run2 times]]=""),"",Table1221101934465870[[#This Row],[run 1 times]]+Table1221101934465870[[#This Row],[run2 times]])</f>
        <v>1.1822916666666666E-3</v>
      </c>
      <c r="AM7" s="3">
        <f>IF(Table1221101934465870[[#This Row],[total time]]="",999.99,IF(Table1221101934465870[[#This Row],[total time]]=$AQ$3,0,MAX(0,ROUND(((Table1221101934465870[[#This Row],[total time]]-$AQ$3)/$AQ$3)*$AO$6,2))))</f>
        <v>47.41</v>
      </c>
    </row>
    <row r="8" spans="1:43" x14ac:dyDescent="0.3">
      <c r="A8">
        <v>30</v>
      </c>
      <c r="B8">
        <v>13</v>
      </c>
      <c r="C8" t="s">
        <v>373</v>
      </c>
      <c r="D8" t="s">
        <v>480</v>
      </c>
      <c r="E8" t="s">
        <v>503</v>
      </c>
      <c r="F8">
        <v>2014</v>
      </c>
      <c r="G8" s="5">
        <v>7.0115740740740739E-4</v>
      </c>
      <c r="H8">
        <v>57.95</v>
      </c>
      <c r="I8" s="5">
        <v>1.371875E-3</v>
      </c>
      <c r="K8">
        <v>112386</v>
      </c>
      <c r="L8" s="2">
        <f>_xlfn.LET(_xlpm.x,Table1271631435567[[#This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7.0115740740740739E-4</v>
      </c>
      <c r="M8" s="3">
        <f>IF(Table1271631435567[[#This Row],[run 1 times]]="",999.99,IF(Table1271631435567[[#This Row],[run 1 times]]=$S$3,0,MAX(0,ROUND(((Table1271631435567[[#This Row],[run 1 times]]-$S$3)/$S$3)*$T$6,2))))</f>
        <v>220.11</v>
      </c>
      <c r="N8" s="2">
        <f>_xlfn.LET(_xlpm.x,Table1271631435567[[#This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6.7071759259259265E-4</v>
      </c>
      <c r="O8" s="3">
        <f>IF(Table1271631435567[[#This Row],[run2 times]]="",999.99,IF(Table1271631435567[[#This Row],[run2 times]]=$T$3,0,MAX(0,ROUND(((Table1271631435567[[#This Row],[run2 times]]-$T$3)/$T$3)*$T$6,2))))</f>
        <v>152.68</v>
      </c>
      <c r="P8" s="2">
        <f>IF(OR(Table1271631435567[[#This Row],[run 1 times]]="",Table1271631435567[[#This Row],[run2 times]]=""),"",Table1271631435567[[#This Row],[run 1 times]]+Table1271631435567[[#This Row],[run2 times]])</f>
        <v>1.371875E-3</v>
      </c>
      <c r="Q8" s="3">
        <f>IF(Table1271631435567[[#This Row],[total time]]="",999.99,IF(Table1271631435567[[#This Row],[total time]]=$U$3,0,MAX(0,ROUND(((Table1271631435567[[#This Row],[total time]]-$U$3)/$U$3)*$T$6,2))))</f>
        <v>186.2</v>
      </c>
      <c r="W8">
        <v>7</v>
      </c>
      <c r="X8">
        <v>58</v>
      </c>
      <c r="Y8" t="s">
        <v>223</v>
      </c>
      <c r="Z8" t="s">
        <v>547</v>
      </c>
      <c r="AA8" t="s">
        <v>580</v>
      </c>
      <c r="AB8">
        <v>2011</v>
      </c>
      <c r="AC8">
        <v>49.88</v>
      </c>
      <c r="AD8">
        <v>52.97</v>
      </c>
      <c r="AE8" s="5">
        <v>1.1903935185185184E-3</v>
      </c>
      <c r="AG8">
        <v>94556</v>
      </c>
      <c r="AH8" s="2">
        <f>_xlfn.LET(_xlpm.x,Table1221101934465870[[#This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5.7731481481481479E-4</v>
      </c>
      <c r="AI8" s="3">
        <f>IF(Table1221101934465870[[#This Row],[run 1 times]]="",999.99,IF(Table1221101934465870[[#This Row],[run 1 times]]=$AO$3,0,MAX(0,ROUND(((Table1221101934465870[[#This Row],[run 1 times]]-$AO$3)/$AO$3)*$AO$6,2))))</f>
        <v>67.12</v>
      </c>
      <c r="AJ8" s="2">
        <f>_xlfn.LET(_xlpm.x,Table1221101934465870[[#This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6.1307870370370368E-4</v>
      </c>
      <c r="AK8" s="3">
        <f>IF(Table1221101934465870[[#This Row],[run2 times]]="",999.99,IF(Table1221101934465870[[#This Row],[run2 times]]=$AP$3,0,MAX(0,ROUND(((Table1221101934465870[[#This Row],[run2 times]]-$AP$3)/$AP$3)*$AO$6,2))))</f>
        <v>54.18</v>
      </c>
      <c r="AL8" s="2">
        <f>IF(OR(Table1221101934465870[[#This Row],[run 1 times]]="",Table1221101934465870[[#This Row],[run2 times]]=""),"",Table1221101934465870[[#This Row],[run 1 times]]+Table1221101934465870[[#This Row],[run2 times]])</f>
        <v>1.1903935185185186E-3</v>
      </c>
      <c r="AM8" s="3">
        <f>IF(Table1221101934465870[[#This Row],[total time]]="",999.99,IF(Table1221101934465870[[#This Row],[total time]]=$AQ$3,0,MAX(0,ROUND(((Table1221101934465870[[#This Row],[total time]]-$AQ$3)/$AQ$3)*$AO$6,2))))</f>
        <v>52.74</v>
      </c>
    </row>
    <row r="9" spans="1:43" x14ac:dyDescent="0.3">
      <c r="A9">
        <v>32</v>
      </c>
      <c r="B9">
        <v>15</v>
      </c>
      <c r="C9" t="s">
        <v>257</v>
      </c>
      <c r="D9" t="s">
        <v>480</v>
      </c>
      <c r="E9" t="s">
        <v>865</v>
      </c>
      <c r="G9">
        <v>59.4</v>
      </c>
      <c r="H9" s="5">
        <v>6.9918981481481481E-4</v>
      </c>
      <c r="I9" s="5">
        <v>1.3866898148148148E-3</v>
      </c>
      <c r="K9">
        <v>119074</v>
      </c>
      <c r="L9" s="2">
        <f>_xlfn.LET(_xlpm.x,Table1271631435567[[#This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6.8749999999999996E-4</v>
      </c>
      <c r="M9" s="3">
        <f>IF(Table1271631435567[[#This Row],[run 1 times]]="",999.99,IF(Table1271631435567[[#This Row],[run 1 times]]=$S$3,0,MAX(0,ROUND(((Table1271631435567[[#This Row],[run 1 times]]-$S$3)/$S$3)*$T$6,2))))</f>
        <v>196.15</v>
      </c>
      <c r="N9" s="2">
        <f>_xlfn.LET(_xlpm.x,Table1271631435567[[#This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6.9918981481481481E-4</v>
      </c>
      <c r="O9" s="3">
        <f>IF(Table1271631435567[[#This Row],[run2 times]]="",999.99,IF(Table1271631435567[[#This Row],[run2 times]]=$T$3,0,MAX(0,ROUND(((Table1271631435567[[#This Row],[run2 times]]-$T$3)/$T$3)*$T$6,2))))</f>
        <v>202.04</v>
      </c>
      <c r="P9" s="2">
        <f>IF(OR(Table1271631435567[[#This Row],[run 1 times]]="",Table1271631435567[[#This Row],[run2 times]]=""),"",Table1271631435567[[#This Row],[run 1 times]]+Table1271631435567[[#This Row],[run2 times]])</f>
        <v>1.3866898148148148E-3</v>
      </c>
      <c r="Q9" s="3">
        <f>IF(Table1271631435567[[#This Row],[total time]]="",999.99,IF(Table1271631435567[[#This Row],[total time]]=$U$3,0,MAX(0,ROUND(((Table1271631435567[[#This Row],[total time]]-$U$3)/$U$3)*$T$6,2))))</f>
        <v>199.11</v>
      </c>
      <c r="W9">
        <v>15</v>
      </c>
      <c r="X9">
        <v>70</v>
      </c>
      <c r="Y9" t="s">
        <v>373</v>
      </c>
      <c r="Z9" t="s">
        <v>547</v>
      </c>
      <c r="AA9" t="s">
        <v>548</v>
      </c>
      <c r="AB9">
        <v>2011</v>
      </c>
      <c r="AC9">
        <v>49.83</v>
      </c>
      <c r="AD9">
        <v>53.2</v>
      </c>
      <c r="AE9" s="5">
        <v>1.1924768518518519E-3</v>
      </c>
      <c r="AG9">
        <v>94824</v>
      </c>
      <c r="AH9" s="2">
        <f>_xlfn.LET(_xlpm.x,Table1221101934465870[[#This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5.7673611111111109E-4</v>
      </c>
      <c r="AI9" s="3">
        <f>IF(Table1221101934465870[[#This Row],[run 1 times]]="",999.99,IF(Table1221101934465870[[#This Row],[run 1 times]]=$AO$3,0,MAX(0,ROUND(((Table1221101934465870[[#This Row],[run 1 times]]-$AO$3)/$AO$3)*$AO$6,2))))</f>
        <v>66.319999999999993</v>
      </c>
      <c r="AJ9" s="2">
        <f>_xlfn.LET(_xlpm.x,Table1221101934465870[[#This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6.1574074074074081E-4</v>
      </c>
      <c r="AK9" s="3">
        <f>IF(Table1221101934465870[[#This Row],[run2 times]]="",999.99,IF(Table1221101934465870[[#This Row],[run2 times]]=$AP$3,0,MAX(0,ROUND(((Table1221101934465870[[#This Row],[run2 times]]-$AP$3)/$AP$3)*$AO$6,2))))</f>
        <v>57.59</v>
      </c>
      <c r="AL9" s="2">
        <f>IF(OR(Table1221101934465870[[#This Row],[run 1 times]]="",Table1221101934465870[[#This Row],[run2 times]]=""),"",Table1221101934465870[[#This Row],[run 1 times]]+Table1221101934465870[[#This Row],[run2 times]])</f>
        <v>1.1924768518518519E-3</v>
      </c>
      <c r="AM9" s="3">
        <f>IF(Table1221101934465870[[#This Row],[total time]]="",999.99,IF(Table1221101934465870[[#This Row],[total time]]=$AQ$3,0,MAX(0,ROUND(((Table1221101934465870[[#This Row],[total time]]-$AQ$3)/$AQ$3)*$AO$6,2))))</f>
        <v>54.11</v>
      </c>
    </row>
    <row r="10" spans="1:43" x14ac:dyDescent="0.3">
      <c r="A10">
        <v>15</v>
      </c>
      <c r="B10">
        <v>32</v>
      </c>
      <c r="C10" t="s">
        <v>257</v>
      </c>
      <c r="D10" t="s">
        <v>480</v>
      </c>
      <c r="E10" t="s">
        <v>495</v>
      </c>
      <c r="G10" s="5">
        <v>6.9513888888888891E-4</v>
      </c>
      <c r="H10" s="5">
        <v>7.2187499999999997E-4</v>
      </c>
      <c r="I10" s="5">
        <v>1.4170138888888889E-3</v>
      </c>
      <c r="K10">
        <v>120662</v>
      </c>
      <c r="L10" s="2">
        <f>_xlfn.LET(_xlpm.x,Table1271631435567[[#This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6.9513888888888891E-4</v>
      </c>
      <c r="M10" s="3">
        <f>IF(Table1271631435567[[#This Row],[run 1 times]]="",999.99,IF(Table1271631435567[[#This Row],[run 1 times]]=$S$3,0,MAX(0,ROUND(((Table1271631435567[[#This Row],[run 1 times]]-$S$3)/$S$3)*$T$6,2))))</f>
        <v>209.55</v>
      </c>
      <c r="N10" s="2">
        <f>_xlfn.LET(_xlpm.x,Table1271631435567[[#This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7.2187499999999997E-4</v>
      </c>
      <c r="O10" s="3">
        <f>IF(Table1271631435567[[#This Row],[run2 times]]="",999.99,IF(Table1271631435567[[#This Row],[run2 times]]=$T$3,0,MAX(0,ROUND(((Table1271631435567[[#This Row],[run2 times]]-$T$3)/$T$3)*$T$6,2))))</f>
        <v>241.36</v>
      </c>
      <c r="P10" s="2">
        <f>IF(OR(Table1271631435567[[#This Row],[run 1 times]]="",Table1271631435567[[#This Row],[run2 times]]=""),"",Table1271631435567[[#This Row],[run 1 times]]+Table1271631435567[[#This Row],[run2 times]])</f>
        <v>1.4170138888888889E-3</v>
      </c>
      <c r="Q10" s="3">
        <f>IF(Table1271631435567[[#This Row],[total time]]="",999.99,IF(Table1271631435567[[#This Row],[total time]]=$U$3,0,MAX(0,ROUND(((Table1271631435567[[#This Row],[total time]]-$U$3)/$U$3)*$T$6,2))))</f>
        <v>225.55</v>
      </c>
      <c r="W10">
        <v>9</v>
      </c>
      <c r="X10">
        <v>56</v>
      </c>
      <c r="Y10" t="s">
        <v>373</v>
      </c>
      <c r="Z10" t="s">
        <v>547</v>
      </c>
      <c r="AA10" t="s">
        <v>550</v>
      </c>
      <c r="AB10">
        <v>2010</v>
      </c>
      <c r="AC10">
        <v>49.32</v>
      </c>
      <c r="AD10">
        <v>54.4</v>
      </c>
      <c r="AE10" s="5">
        <v>1.2004629629629629E-3</v>
      </c>
      <c r="AG10">
        <v>102764</v>
      </c>
      <c r="AH10" s="2">
        <f>_xlfn.LET(_xlpm.x,Table1221101934465870[[#This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5.7083333333333335E-4</v>
      </c>
      <c r="AI10" s="3">
        <f>IF(Table1221101934465870[[#This Row],[run 1 times]]="",999.99,IF(Table1221101934465870[[#This Row],[run 1 times]]=$AO$3,0,MAX(0,ROUND(((Table1221101934465870[[#This Row],[run 1 times]]-$AO$3)/$AO$3)*$AO$6,2))))</f>
        <v>58.17</v>
      </c>
      <c r="AJ10" s="2">
        <f>_xlfn.LET(_xlpm.x,Table1221101934465870[[#This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6.2962962962962961E-4</v>
      </c>
      <c r="AK10" s="3">
        <f>IF(Table1221101934465870[[#This Row],[run2 times]]="",999.99,IF(Table1221101934465870[[#This Row],[run2 times]]=$AP$3,0,MAX(0,ROUND(((Table1221101934465870[[#This Row],[run2 times]]-$AP$3)/$AP$3)*$AO$6,2))))</f>
        <v>75.349999999999994</v>
      </c>
      <c r="AL10" s="2">
        <f>IF(OR(Table1221101934465870[[#This Row],[run 1 times]]="",Table1221101934465870[[#This Row],[run2 times]]=""),"",Table1221101934465870[[#This Row],[run 1 times]]+Table1221101934465870[[#This Row],[run2 times]])</f>
        <v>1.2004629629629631E-3</v>
      </c>
      <c r="AM10" s="3">
        <f>IF(Table1221101934465870[[#This Row],[total time]]="",999.99,IF(Table1221101934465870[[#This Row],[total time]]=$AQ$3,0,MAX(0,ROUND(((Table1221101934465870[[#This Row],[total time]]-$AQ$3)/$AQ$3)*$AO$6,2))))</f>
        <v>59.36</v>
      </c>
    </row>
    <row r="11" spans="1:43" x14ac:dyDescent="0.3">
      <c r="A11">
        <v>34</v>
      </c>
      <c r="B11">
        <v>17</v>
      </c>
      <c r="C11" t="s">
        <v>257</v>
      </c>
      <c r="D11" t="s">
        <v>480</v>
      </c>
      <c r="E11" t="s">
        <v>493</v>
      </c>
      <c r="G11" s="5">
        <v>7.3449074074074074E-4</v>
      </c>
      <c r="H11" s="5">
        <v>7.1666666666666667E-4</v>
      </c>
      <c r="I11" s="5">
        <v>1.4511574074074073E-3</v>
      </c>
      <c r="K11">
        <v>120668</v>
      </c>
      <c r="L11" s="2">
        <f>_xlfn.LET(_xlpm.x,Table1271631435567[[#This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7.3449074074074074E-4</v>
      </c>
      <c r="M11" s="3">
        <f>IF(Table1271631435567[[#This Row],[run 1 times]]="",999.99,IF(Table1271631435567[[#This Row],[run 1 times]]=$S$3,0,MAX(0,ROUND(((Table1271631435567[[#This Row],[run 1 times]]-$S$3)/$S$3)*$T$6,2))))</f>
        <v>278.58999999999997</v>
      </c>
      <c r="N11" s="2">
        <f>_xlfn.LET(_xlpm.x,Table1271631435567[[#This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7.1666666666666667E-4</v>
      </c>
      <c r="O11" s="3">
        <f>IF(Table1271631435567[[#This Row],[run2 times]]="",999.99,IF(Table1271631435567[[#This Row],[run2 times]]=$T$3,0,MAX(0,ROUND(((Table1271631435567[[#This Row],[run2 times]]-$T$3)/$T$3)*$T$6,2))))</f>
        <v>232.34</v>
      </c>
      <c r="P11" s="2">
        <f>IF(OR(Table1271631435567[[#This Row],[run 1 times]]="",Table1271631435567[[#This Row],[run2 times]]=""),"",Table1271631435567[[#This Row],[run 1 times]]+Table1271631435567[[#This Row],[run2 times]])</f>
        <v>1.4511574074074075E-3</v>
      </c>
      <c r="Q11" s="3">
        <f>IF(Table1271631435567[[#This Row],[total time]]="",999.99,IF(Table1271631435567[[#This Row],[total time]]=$U$3,0,MAX(0,ROUND(((Table1271631435567[[#This Row],[total time]]-$U$3)/$U$3)*$T$6,2))))</f>
        <v>255.33</v>
      </c>
      <c r="W11">
        <v>2</v>
      </c>
      <c r="X11">
        <v>63</v>
      </c>
      <c r="Y11" t="s">
        <v>257</v>
      </c>
      <c r="Z11" t="s">
        <v>547</v>
      </c>
      <c r="AA11" t="s">
        <v>571</v>
      </c>
      <c r="AB11">
        <v>2010</v>
      </c>
      <c r="AC11">
        <v>51.3</v>
      </c>
      <c r="AD11">
        <v>53.51</v>
      </c>
      <c r="AE11" s="5">
        <v>1.2130787037037036E-3</v>
      </c>
      <c r="AG11">
        <v>92167</v>
      </c>
      <c r="AH11" s="2">
        <f>_xlfn.LET(_xlpm.x,Table1221101934465870[[#This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5.9374999999999999E-4</v>
      </c>
      <c r="AI11" s="3">
        <f>IF(Table1221101934465870[[#This Row],[run 1 times]]="",999.99,IF(Table1221101934465870[[#This Row],[run 1 times]]=$AO$3,0,MAX(0,ROUND(((Table1221101934465870[[#This Row],[run 1 times]]-$AO$3)/$AO$3)*$AO$6,2))))</f>
        <v>89.81</v>
      </c>
      <c r="AJ11" s="2">
        <f>_xlfn.LET(_xlpm.x,Table1221101934465870[[#This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6.1932870370370364E-4</v>
      </c>
      <c r="AK11" s="3">
        <f>IF(Table1221101934465870[[#This Row],[run2 times]]="",999.99,IF(Table1221101934465870[[#This Row],[run2 times]]=$AP$3,0,MAX(0,ROUND(((Table1221101934465870[[#This Row],[run2 times]]-$AP$3)/$AP$3)*$AO$6,2))))</f>
        <v>62.18</v>
      </c>
      <c r="AL11" s="2">
        <f>IF(OR(Table1221101934465870[[#This Row],[run 1 times]]="",Table1221101934465870[[#This Row],[run2 times]]=""),"",Table1221101934465870[[#This Row],[run 1 times]]+Table1221101934465870[[#This Row],[run2 times]])</f>
        <v>1.2130787037037036E-3</v>
      </c>
      <c r="AM11" s="3">
        <f>IF(Table1221101934465870[[#This Row],[total time]]="",999.99,IF(Table1221101934465870[[#This Row],[total time]]=$AQ$3,0,MAX(0,ROUND(((Table1221101934465870[[#This Row],[total time]]-$AQ$3)/$AQ$3)*$AO$6,2))))</f>
        <v>67.66</v>
      </c>
    </row>
    <row r="12" spans="1:43" x14ac:dyDescent="0.3">
      <c r="A12">
        <v>6</v>
      </c>
      <c r="B12">
        <v>23</v>
      </c>
      <c r="C12" t="s">
        <v>24</v>
      </c>
      <c r="D12" t="s">
        <v>480</v>
      </c>
      <c r="E12" t="s">
        <v>901</v>
      </c>
      <c r="G12" s="5">
        <v>7.2025462962962961E-4</v>
      </c>
      <c r="H12" s="5">
        <v>7.4085648148148155E-4</v>
      </c>
      <c r="I12" s="5">
        <v>1.4611111111111109E-3</v>
      </c>
      <c r="K12">
        <v>114606</v>
      </c>
      <c r="L12" s="2">
        <f>_xlfn.LET(_xlpm.x,Table1271631435567[[#This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7.2025462962962961E-4</v>
      </c>
      <c r="M12" s="3">
        <f>IF(Table1271631435567[[#This Row],[run 1 times]]="",999.99,IF(Table1271631435567[[#This Row],[run 1 times]]=$S$3,0,MAX(0,ROUND(((Table1271631435567[[#This Row],[run 1 times]]-$S$3)/$S$3)*$T$6,2))))</f>
        <v>253.62</v>
      </c>
      <c r="N12" s="2">
        <f>_xlfn.LET(_xlpm.x,Table1271631435567[[#This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7.4085648148148155E-4</v>
      </c>
      <c r="O12" s="3">
        <f>IF(Table1271631435567[[#This Row],[run2 times]]="",999.99,IF(Table1271631435567[[#This Row],[run2 times]]=$T$3,0,MAX(0,ROUND(((Table1271631435567[[#This Row],[run2 times]]-$T$3)/$T$3)*$T$6,2))))</f>
        <v>274.27</v>
      </c>
      <c r="P12" s="2">
        <f>IF(OR(Table1271631435567[[#This Row],[run 1 times]]="",Table1271631435567[[#This Row],[run2 times]]=""),"",Table1271631435567[[#This Row],[run 1 times]]+Table1271631435567[[#This Row],[run2 times]])</f>
        <v>1.4611111111111112E-3</v>
      </c>
      <c r="Q12" s="3">
        <f>IF(Table1271631435567[[#This Row],[total time]]="",999.99,IF(Table1271631435567[[#This Row],[total time]]=$U$3,0,MAX(0,ROUND(((Table1271631435567[[#This Row],[total time]]-$U$3)/$U$3)*$T$6,2))))</f>
        <v>264</v>
      </c>
      <c r="W12">
        <v>6</v>
      </c>
      <c r="X12">
        <v>59</v>
      </c>
      <c r="Y12" t="s">
        <v>24</v>
      </c>
      <c r="Z12" t="s">
        <v>547</v>
      </c>
      <c r="AA12" t="s">
        <v>832</v>
      </c>
      <c r="AB12">
        <v>2011</v>
      </c>
      <c r="AC12">
        <v>51</v>
      </c>
      <c r="AD12">
        <v>54.86</v>
      </c>
      <c r="AE12" s="5">
        <v>1.2252314814814814E-3</v>
      </c>
      <c r="AG12">
        <v>89072</v>
      </c>
      <c r="AH12" s="2">
        <f>_xlfn.LET(_xlpm.x,Table1221101934465870[[#This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5.9027777777777778E-4</v>
      </c>
      <c r="AI12" s="3">
        <f>IF(Table1221101934465870[[#This Row],[run 1 times]]="",999.99,IF(Table1221101934465870[[#This Row],[run 1 times]]=$AO$3,0,MAX(0,ROUND(((Table1221101934465870[[#This Row],[run 1 times]]-$AO$3)/$AO$3)*$AO$6,2))))</f>
        <v>85.02</v>
      </c>
      <c r="AJ12" s="2">
        <f>_xlfn.LET(_xlpm.x,Table1221101934465870[[#This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6.3495370370370366E-4</v>
      </c>
      <c r="AK12" s="3">
        <f>IF(Table1221101934465870[[#This Row],[run2 times]]="",999.99,IF(Table1221101934465870[[#This Row],[run2 times]]=$AP$3,0,MAX(0,ROUND(((Table1221101934465870[[#This Row],[run2 times]]-$AP$3)/$AP$3)*$AO$6,2))))</f>
        <v>82.16</v>
      </c>
      <c r="AL12" s="2">
        <f>IF(OR(Table1221101934465870[[#This Row],[run 1 times]]="",Table1221101934465870[[#This Row],[run2 times]]=""),"",Table1221101934465870[[#This Row],[run 1 times]]+Table1221101934465870[[#This Row],[run2 times]])</f>
        <v>1.2252314814814814E-3</v>
      </c>
      <c r="AM12" s="3">
        <f>IF(Table1221101934465870[[#This Row],[total time]]="",999.99,IF(Table1221101934465870[[#This Row],[total time]]=$AQ$3,0,MAX(0,ROUND(((Table1221101934465870[[#This Row],[total time]]-$AQ$3)/$AQ$3)*$AO$6,2))))</f>
        <v>75.650000000000006</v>
      </c>
    </row>
    <row r="13" spans="1:43" x14ac:dyDescent="0.3">
      <c r="A13">
        <v>11</v>
      </c>
      <c r="B13">
        <v>28</v>
      </c>
      <c r="C13" t="s">
        <v>257</v>
      </c>
      <c r="D13" t="s">
        <v>480</v>
      </c>
      <c r="E13" t="s">
        <v>505</v>
      </c>
      <c r="G13" s="5">
        <v>7.0972222222222226E-4</v>
      </c>
      <c r="H13" s="5">
        <v>7.6157407407407402E-4</v>
      </c>
      <c r="I13" s="5">
        <v>1.4712962962962963E-3</v>
      </c>
      <c r="K13">
        <v>119081</v>
      </c>
      <c r="L13" s="2">
        <f>_xlfn.LET(_xlpm.x,Table1271631435567[[#This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7.0972222222222226E-4</v>
      </c>
      <c r="M13" s="3">
        <f>IF(Table1271631435567[[#This Row],[run 1 times]]="",999.99,IF(Table1271631435567[[#This Row],[run 1 times]]=$S$3,0,MAX(0,ROUND(((Table1271631435567[[#This Row],[run 1 times]]-$S$3)/$S$3)*$T$6,2))))</f>
        <v>235.14</v>
      </c>
      <c r="N13" s="2">
        <f>_xlfn.LET(_xlpm.x,Table1271631435567[[#This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7.6157407407407402E-4</v>
      </c>
      <c r="O13" s="3">
        <f>IF(Table1271631435567[[#This Row],[run2 times]]="",999.99,IF(Table1271631435567[[#This Row],[run2 times]]=$T$3,0,MAX(0,ROUND(((Table1271631435567[[#This Row],[run2 times]]-$T$3)/$T$3)*$T$6,2))))</f>
        <v>310.18</v>
      </c>
      <c r="P13" s="2">
        <f>IF(OR(Table1271631435567[[#This Row],[run 1 times]]="",Table1271631435567[[#This Row],[run2 times]]=""),"",Table1271631435567[[#This Row],[run 1 times]]+Table1271631435567[[#This Row],[run2 times]])</f>
        <v>1.4712962962962963E-3</v>
      </c>
      <c r="Q13" s="3">
        <f>IF(Table1271631435567[[#This Row],[total time]]="",999.99,IF(Table1271631435567[[#This Row],[total time]]=$U$3,0,MAX(0,ROUND(((Table1271631435567[[#This Row],[total time]]-$U$3)/$U$3)*$T$6,2))))</f>
        <v>272.89</v>
      </c>
      <c r="W13">
        <v>11</v>
      </c>
      <c r="X13">
        <v>74</v>
      </c>
      <c r="Y13" t="s">
        <v>373</v>
      </c>
      <c r="Z13" t="s">
        <v>547</v>
      </c>
      <c r="AA13" t="s">
        <v>554</v>
      </c>
      <c r="AB13">
        <v>2011</v>
      </c>
      <c r="AC13">
        <v>53.42</v>
      </c>
      <c r="AD13">
        <v>55.89</v>
      </c>
      <c r="AE13" s="5">
        <v>1.2651620370370371E-3</v>
      </c>
      <c r="AG13">
        <v>94829</v>
      </c>
      <c r="AH13" s="2">
        <f>_xlfn.LET(_xlpm.x,Table1221101934465870[[#This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6.1828703703703709E-4</v>
      </c>
      <c r="AI13" s="3">
        <f>IF(Table1221101934465870[[#This Row],[run 1 times]]="",999.99,IF(Table1221101934465870[[#This Row],[run 1 times]]=$AO$3,0,MAX(0,ROUND(((Table1221101934465870[[#This Row],[run 1 times]]-$AO$3)/$AO$3)*$AO$6,2))))</f>
        <v>123.69</v>
      </c>
      <c r="AJ13" s="2">
        <f>_xlfn.LET(_xlpm.x,Table1221101934465870[[#This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6.4687499999999999E-4</v>
      </c>
      <c r="AK13" s="3">
        <f>IF(Table1221101934465870[[#This Row],[run2 times]]="",999.99,IF(Table1221101934465870[[#This Row],[run2 times]]=$AP$3,0,MAX(0,ROUND(((Table1221101934465870[[#This Row],[run2 times]]-$AP$3)/$AP$3)*$AO$6,2))))</f>
        <v>97.41</v>
      </c>
      <c r="AL13" s="2">
        <f>IF(OR(Table1221101934465870[[#This Row],[run 1 times]]="",Table1221101934465870[[#This Row],[run2 times]]=""),"",Table1221101934465870[[#This Row],[run 1 times]]+Table1221101934465870[[#This Row],[run2 times]])</f>
        <v>1.2651620370370371E-3</v>
      </c>
      <c r="AM13" s="3">
        <f>IF(Table1221101934465870[[#This Row],[total time]]="",999.99,IF(Table1221101934465870[[#This Row],[total time]]=$AQ$3,0,MAX(0,ROUND(((Table1221101934465870[[#This Row],[total time]]-$AQ$3)/$AQ$3)*$AO$6,2))))</f>
        <v>101.9</v>
      </c>
    </row>
    <row r="14" spans="1:43" x14ac:dyDescent="0.3">
      <c r="A14">
        <v>26</v>
      </c>
      <c r="B14">
        <v>9</v>
      </c>
      <c r="C14" t="s">
        <v>373</v>
      </c>
      <c r="D14" t="s">
        <v>480</v>
      </c>
      <c r="E14" t="s">
        <v>902</v>
      </c>
      <c r="F14">
        <v>2014</v>
      </c>
      <c r="G14" s="5">
        <v>7.4085648148148155E-4</v>
      </c>
      <c r="H14" s="5">
        <v>7.3240740740740742E-4</v>
      </c>
      <c r="I14" s="5">
        <v>1.473263888888889E-3</v>
      </c>
      <c r="K14">
        <v>112392</v>
      </c>
      <c r="L14" s="2">
        <f>_xlfn.LET(_xlpm.x,Table1271631435567[[#This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7.4085648148148155E-4</v>
      </c>
      <c r="M14" s="3">
        <f>IF(Table1271631435567[[#This Row],[run 1 times]]="",999.99,IF(Table1271631435567[[#This Row],[run 1 times]]=$S$3,0,MAX(0,ROUND(((Table1271631435567[[#This Row],[run 1 times]]-$S$3)/$S$3)*$T$6,2))))</f>
        <v>289.76</v>
      </c>
      <c r="N14" s="2">
        <f>_xlfn.LET(_xlpm.x,Table1271631435567[[#This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7.3240740740740742E-4</v>
      </c>
      <c r="O14" s="3">
        <f>IF(Table1271631435567[[#This Row],[run2 times]]="",999.99,IF(Table1271631435567[[#This Row],[run2 times]]=$T$3,0,MAX(0,ROUND(((Table1271631435567[[#This Row],[run2 times]]-$T$3)/$T$3)*$T$6,2))))</f>
        <v>259.62</v>
      </c>
      <c r="P14" s="2">
        <f>IF(OR(Table1271631435567[[#This Row],[run 1 times]]="",Table1271631435567[[#This Row],[run2 times]]=""),"",Table1271631435567[[#This Row],[run 1 times]]+Table1271631435567[[#This Row],[run2 times]])</f>
        <v>1.473263888888889E-3</v>
      </c>
      <c r="Q14" s="3">
        <f>IF(Table1271631435567[[#This Row],[total time]]="",999.99,IF(Table1271631435567[[#This Row],[total time]]=$U$3,0,MAX(0,ROUND(((Table1271631435567[[#This Row],[total time]]-$U$3)/$U$3)*$T$6,2))))</f>
        <v>274.60000000000002</v>
      </c>
      <c r="W14">
        <v>12</v>
      </c>
      <c r="X14">
        <v>173</v>
      </c>
      <c r="Y14" t="s">
        <v>24</v>
      </c>
      <c r="Z14" t="s">
        <v>547</v>
      </c>
      <c r="AA14" t="s">
        <v>834</v>
      </c>
      <c r="AB14">
        <v>2011</v>
      </c>
      <c r="AC14">
        <v>53.86</v>
      </c>
      <c r="AD14">
        <v>57.98</v>
      </c>
      <c r="AE14" s="5">
        <v>1.2944444444444444E-3</v>
      </c>
      <c r="AG14">
        <v>121115</v>
      </c>
      <c r="AH14" s="2">
        <f>_xlfn.LET(_xlpm.x,Table1221101934465870[[#This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6.2337962962962965E-4</v>
      </c>
      <c r="AI14" s="3">
        <f>IF(Table1221101934465870[[#This Row],[run 1 times]]="",999.99,IF(Table1221101934465870[[#This Row],[run 1 times]]=$AO$3,0,MAX(0,ROUND(((Table1221101934465870[[#This Row],[run 1 times]]-$AO$3)/$AO$3)*$AO$6,2))))</f>
        <v>130.72</v>
      </c>
      <c r="AJ14" s="2">
        <f>_xlfn.LET(_xlpm.x,Table1221101934465870[[#This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6.7106481481481477E-4</v>
      </c>
      <c r="AK14" s="3">
        <f>IF(Table1221101934465870[[#This Row],[run2 times]]="",999.99,IF(Table1221101934465870[[#This Row],[run2 times]]=$AP$3,0,MAX(0,ROUND(((Table1221101934465870[[#This Row],[run2 times]]-$AP$3)/$AP$3)*$AO$6,2))))</f>
        <v>128.35</v>
      </c>
      <c r="AL14" s="2">
        <f>IF(OR(Table1221101934465870[[#This Row],[run 1 times]]="",Table1221101934465870[[#This Row],[run2 times]]=""),"",Table1221101934465870[[#This Row],[run 1 times]]+Table1221101934465870[[#This Row],[run2 times]])</f>
        <v>1.2944444444444444E-3</v>
      </c>
      <c r="AM14" s="3">
        <f>IF(Table1221101934465870[[#This Row],[total time]]="",999.99,IF(Table1221101934465870[[#This Row],[total time]]=$AQ$3,0,MAX(0,ROUND(((Table1221101934465870[[#This Row],[total time]]-$AQ$3)/$AQ$3)*$AO$6,2))))</f>
        <v>121.16</v>
      </c>
    </row>
    <row r="15" spans="1:43" x14ac:dyDescent="0.3">
      <c r="A15">
        <v>17</v>
      </c>
      <c r="B15">
        <v>197</v>
      </c>
      <c r="C15" t="s">
        <v>24</v>
      </c>
      <c r="D15" t="s">
        <v>480</v>
      </c>
      <c r="E15" t="s">
        <v>903</v>
      </c>
      <c r="F15">
        <v>2014</v>
      </c>
      <c r="G15" s="5">
        <v>7.5451388888888888E-4</v>
      </c>
      <c r="H15" s="5">
        <v>7.5497685185185195E-4</v>
      </c>
      <c r="I15" s="5">
        <v>1.5094907407407405E-3</v>
      </c>
      <c r="K15">
        <v>108686</v>
      </c>
      <c r="L15" s="2">
        <f>_xlfn.LET(_xlpm.x,Table1271631435567[[#This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7.5451388888888888E-4</v>
      </c>
      <c r="M15" s="3">
        <f>IF(Table1271631435567[[#This Row],[run 1 times]]="",999.99,IF(Table1271631435567[[#This Row],[run 1 times]]=$S$3,0,MAX(0,ROUND(((Table1271631435567[[#This Row],[run 1 times]]-$S$3)/$S$3)*$T$6,2))))</f>
        <v>313.72000000000003</v>
      </c>
      <c r="N15" s="2">
        <f>_xlfn.LET(_xlpm.x,Table1271631435567[[#This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7.5497685185185195E-4</v>
      </c>
      <c r="O15" s="3">
        <f>IF(Table1271631435567[[#This Row],[run2 times]]="",999.99,IF(Table1271631435567[[#This Row],[run2 times]]=$T$3,0,MAX(0,ROUND(((Table1271631435567[[#This Row],[run2 times]]-$T$3)/$T$3)*$T$6,2))))</f>
        <v>298.75</v>
      </c>
      <c r="P15" s="2">
        <f>IF(OR(Table1271631435567[[#This Row],[run 1 times]]="",Table1271631435567[[#This Row],[run2 times]]=""),"",Table1271631435567[[#This Row],[run 1 times]]+Table1271631435567[[#This Row],[run2 times]])</f>
        <v>1.5094907407407409E-3</v>
      </c>
      <c r="Q15" s="3">
        <f>IF(Table1271631435567[[#This Row],[total time]]="",999.99,IF(Table1271631435567[[#This Row],[total time]]=$U$3,0,MAX(0,ROUND(((Table1271631435567[[#This Row],[total time]]-$U$3)/$U$3)*$T$6,2))))</f>
        <v>306.19</v>
      </c>
      <c r="W15">
        <v>8</v>
      </c>
      <c r="X15">
        <v>57</v>
      </c>
      <c r="Y15" t="s">
        <v>257</v>
      </c>
      <c r="Z15" t="s">
        <v>547</v>
      </c>
      <c r="AA15" t="s">
        <v>578</v>
      </c>
      <c r="AB15">
        <v>2010</v>
      </c>
      <c r="AC15">
        <v>58.98</v>
      </c>
      <c r="AD15" s="5">
        <v>7.0231481481481479E-4</v>
      </c>
      <c r="AE15" s="5">
        <v>1.3849537037037036E-3</v>
      </c>
      <c r="AG15">
        <v>121966</v>
      </c>
      <c r="AH15" s="2">
        <f>_xlfn.LET(_xlpm.x,Table1221101934465870[[#This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6.8263888888888888E-4</v>
      </c>
      <c r="AI15" s="3">
        <f>IF(Table1221101934465870[[#This Row],[run 1 times]]="",999.99,IF(Table1221101934465870[[#This Row],[run 1 times]]=$AO$3,0,MAX(0,ROUND(((Table1221101934465870[[#This Row],[run 1 times]]-$AO$3)/$AO$3)*$AO$6,2))))</f>
        <v>212.54</v>
      </c>
      <c r="AJ15" s="2">
        <f>_xlfn.LET(_xlpm.x,Table1221101934465870[[#This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7.0231481481481479E-4</v>
      </c>
      <c r="AK15" s="3">
        <f>IF(Table1221101934465870[[#This Row],[run2 times]]="",999.99,IF(Table1221101934465870[[#This Row],[run2 times]]=$AP$3,0,MAX(0,ROUND(((Table1221101934465870[[#This Row],[run2 times]]-$AP$3)/$AP$3)*$AO$6,2))))</f>
        <v>168.32</v>
      </c>
      <c r="AL15" s="2">
        <f>IF(OR(Table1221101934465870[[#This Row],[run 1 times]]="",Table1221101934465870[[#This Row],[run2 times]]=""),"",Table1221101934465870[[#This Row],[run 1 times]]+Table1221101934465870[[#This Row],[run2 times]])</f>
        <v>1.3849537037037038E-3</v>
      </c>
      <c r="AM15" s="3">
        <f>IF(Table1221101934465870[[#This Row],[total time]]="",999.99,IF(Table1221101934465870[[#This Row],[total time]]=$AQ$3,0,MAX(0,ROUND(((Table1221101934465870[[#This Row],[total time]]-$AQ$3)/$AQ$3)*$AO$6,2))))</f>
        <v>180.67</v>
      </c>
    </row>
    <row r="16" spans="1:43" x14ac:dyDescent="0.3">
      <c r="A16">
        <v>13</v>
      </c>
      <c r="B16">
        <v>30</v>
      </c>
      <c r="C16" t="s">
        <v>257</v>
      </c>
      <c r="D16" t="s">
        <v>480</v>
      </c>
      <c r="E16" t="s">
        <v>520</v>
      </c>
      <c r="G16" s="5">
        <v>7.6504629629629622E-4</v>
      </c>
      <c r="H16" s="5">
        <v>7.7777777777777784E-4</v>
      </c>
      <c r="I16" s="5">
        <v>1.5428240740740743E-3</v>
      </c>
      <c r="K16">
        <v>120665</v>
      </c>
      <c r="L16" s="2">
        <f>_xlfn.LET(_xlpm.x,Table1271631435567[[#This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7.6504629629629622E-4</v>
      </c>
      <c r="M16" s="3">
        <f>IF(Table1271631435567[[#This Row],[run 1 times]]="",999.99,IF(Table1271631435567[[#This Row],[run 1 times]]=$S$3,0,MAX(0,ROUND(((Table1271631435567[[#This Row],[run 1 times]]-$S$3)/$S$3)*$T$6,2))))</f>
        <v>332.2</v>
      </c>
      <c r="N16" s="2">
        <f>_xlfn.LET(_xlpm.x,Table1271631435567[[#This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7.7777777777777784E-4</v>
      </c>
      <c r="O16" s="3">
        <f>IF(Table1271631435567[[#This Row],[run2 times]]="",999.99,IF(Table1271631435567[[#This Row],[run2 times]]=$T$3,0,MAX(0,ROUND(((Table1271631435567[[#This Row],[run2 times]]-$T$3)/$T$3)*$T$6,2))))</f>
        <v>338.27</v>
      </c>
      <c r="P16" s="2">
        <f>IF(OR(Table1271631435567[[#This Row],[run 1 times]]="",Table1271631435567[[#This Row],[run2 times]]=""),"",Table1271631435567[[#This Row],[run 1 times]]+Table1271631435567[[#This Row],[run2 times]])</f>
        <v>1.5428240740740741E-3</v>
      </c>
      <c r="Q16" s="3">
        <f>IF(Table1271631435567[[#This Row],[total time]]="",999.99,IF(Table1271631435567[[#This Row],[total time]]=$U$3,0,MAX(0,ROUND(((Table1271631435567[[#This Row],[total time]]-$U$3)/$U$3)*$T$6,2))))</f>
        <v>335.25</v>
      </c>
      <c r="W16">
        <v>16</v>
      </c>
      <c r="X16">
        <v>69</v>
      </c>
      <c r="Y16" t="s">
        <v>24</v>
      </c>
      <c r="Z16" t="s">
        <v>547</v>
      </c>
      <c r="AA16" t="s">
        <v>835</v>
      </c>
      <c r="AB16">
        <v>2011</v>
      </c>
      <c r="AC16">
        <v>49.57</v>
      </c>
      <c r="AD16" t="s">
        <v>510</v>
      </c>
      <c r="AG16">
        <v>88934</v>
      </c>
      <c r="AH16" s="2">
        <f>_xlfn.LET(_xlpm.x,Table1221101934465870[[#This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5.7372685185185185E-4</v>
      </c>
      <c r="AI16" s="3">
        <f>IF(Table1221101934465870[[#This Row],[run 1 times]]="",999.99,IF(Table1221101934465870[[#This Row],[run 1 times]]=$AO$3,0,MAX(0,ROUND(((Table1221101934465870[[#This Row],[run 1 times]]-$AO$3)/$AO$3)*$AO$6,2))))</f>
        <v>62.17</v>
      </c>
      <c r="AJ16" s="2" t="str">
        <f>_xlfn.LET(_xlpm.x,Table1221101934465870[[#This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16" s="3">
        <f>IF(Table1221101934465870[[#This Row],[run2 times]]="",999.99,IF(Table1221101934465870[[#This Row],[run2 times]]=$AP$3,0,MAX(0,ROUND(((Table1221101934465870[[#This Row],[run2 times]]-$AP$3)/$AP$3)*$AO$6,2))))</f>
        <v>999.99</v>
      </c>
      <c r="AL16" s="2" t="str">
        <f>IF(OR(Table1221101934465870[[#This Row],[run 1 times]]="",Table1221101934465870[[#This Row],[run2 times]]=""),"",Table1221101934465870[[#This Row],[run 1 times]]+Table1221101934465870[[#This Row],[run2 times]])</f>
        <v/>
      </c>
      <c r="AM16" s="3">
        <f>IF(Table1221101934465870[[#This Row],[total time]]="",999.99,IF(Table1221101934465870[[#This Row],[total time]]=$AQ$3,0,MAX(0,ROUND(((Table1221101934465870[[#This Row],[total time]]-$AQ$3)/$AQ$3)*$AO$6,2))))</f>
        <v>999.99</v>
      </c>
    </row>
    <row r="17" spans="1:39" x14ac:dyDescent="0.3">
      <c r="A17">
        <v>18</v>
      </c>
      <c r="B17">
        <v>1</v>
      </c>
      <c r="C17" t="s">
        <v>24</v>
      </c>
      <c r="D17" t="s">
        <v>480</v>
      </c>
      <c r="E17" t="s">
        <v>517</v>
      </c>
      <c r="G17" s="5">
        <v>7.7476851851851849E-4</v>
      </c>
      <c r="H17" s="5">
        <v>7.7291666666666665E-4</v>
      </c>
      <c r="I17" s="5">
        <v>1.5476851851851851E-3</v>
      </c>
      <c r="K17">
        <v>109934</v>
      </c>
      <c r="L17" s="2">
        <f>_xlfn.LET(_xlpm.x,Table1271631435567[[#This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7.7476851851851849E-4</v>
      </c>
      <c r="M17" s="3">
        <f>IF(Table1271631435567[[#This Row],[run 1 times]]="",999.99,IF(Table1271631435567[[#This Row],[run 1 times]]=$S$3,0,MAX(0,ROUND(((Table1271631435567[[#This Row],[run 1 times]]-$S$3)/$S$3)*$T$6,2))))</f>
        <v>349.26</v>
      </c>
      <c r="N17" s="2">
        <f>_xlfn.LET(_xlpm.x,Table1271631435567[[#This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7.7291666666666665E-4</v>
      </c>
      <c r="O17" s="3">
        <f>IF(Table1271631435567[[#This Row],[run2 times]]="",999.99,IF(Table1271631435567[[#This Row],[run2 times]]=$T$3,0,MAX(0,ROUND(((Table1271631435567[[#This Row],[run2 times]]-$T$3)/$T$3)*$T$6,2))))</f>
        <v>329.85</v>
      </c>
      <c r="P17" s="2">
        <f>IF(OR(Table1271631435567[[#This Row],[run 1 times]]="",Table1271631435567[[#This Row],[run2 times]]=""),"",Table1271631435567[[#This Row],[run 1 times]]+Table1271631435567[[#This Row],[run2 times]])</f>
        <v>1.5476851851851851E-3</v>
      </c>
      <c r="Q17" s="3">
        <f>IF(Table1271631435567[[#This Row],[total time]]="",999.99,IF(Table1271631435567[[#This Row],[total time]]=$U$3,0,MAX(0,ROUND(((Table1271631435567[[#This Row],[total time]]-$U$3)/$U$3)*$T$6,2))))</f>
        <v>339.49</v>
      </c>
      <c r="W17">
        <v>3</v>
      </c>
      <c r="X17">
        <v>62</v>
      </c>
      <c r="Y17" t="s">
        <v>24</v>
      </c>
      <c r="Z17" t="s">
        <v>547</v>
      </c>
      <c r="AA17" t="s">
        <v>562</v>
      </c>
      <c r="AB17">
        <v>2011</v>
      </c>
      <c r="AC17">
        <v>49.25</v>
      </c>
      <c r="AD17" t="s">
        <v>512</v>
      </c>
      <c r="AG17">
        <v>104665</v>
      </c>
      <c r="AH17" s="2">
        <f>_xlfn.LET(_xlpm.x,Table1221101934465870[[#This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5.7002314814814817E-4</v>
      </c>
      <c r="AI17" s="3">
        <f>IF(Table1221101934465870[[#This Row],[run 1 times]]="",999.99,IF(Table1221101934465870[[#This Row],[run 1 times]]=$AO$3,0,MAX(0,ROUND(((Table1221101934465870[[#This Row],[run 1 times]]-$AO$3)/$AO$3)*$AO$6,2))))</f>
        <v>57.05</v>
      </c>
      <c r="AJ17" s="2" t="str">
        <f>_xlfn.LET(_xlpm.x,Table1221101934465870[[#This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17" s="3">
        <f>IF(Table1221101934465870[[#This Row],[run2 times]]="",999.99,IF(Table1221101934465870[[#This Row],[run2 times]]=$AP$3,0,MAX(0,ROUND(((Table1221101934465870[[#This Row],[run2 times]]-$AP$3)/$AP$3)*$AO$6,2))))</f>
        <v>999.99</v>
      </c>
      <c r="AL17" s="2" t="str">
        <f>IF(OR(Table1221101934465870[[#This Row],[run 1 times]]="",Table1221101934465870[[#This Row],[run2 times]]=""),"",Table1221101934465870[[#This Row],[run 1 times]]+Table1221101934465870[[#This Row],[run2 times]])</f>
        <v/>
      </c>
      <c r="AM17" s="3">
        <f>IF(Table1221101934465870[[#This Row],[total time]]="",999.99,IF(Table1221101934465870[[#This Row],[total time]]=$AQ$3,0,MAX(0,ROUND(((Table1221101934465870[[#This Row],[total time]]-$AQ$3)/$AQ$3)*$AO$6,2))))</f>
        <v>999.99</v>
      </c>
    </row>
    <row r="18" spans="1:39" x14ac:dyDescent="0.3">
      <c r="A18">
        <v>19</v>
      </c>
      <c r="B18">
        <v>2</v>
      </c>
      <c r="C18" t="s">
        <v>257</v>
      </c>
      <c r="D18" t="s">
        <v>480</v>
      </c>
      <c r="E18" t="s">
        <v>864</v>
      </c>
      <c r="G18" s="5">
        <v>7.9479166666666674E-4</v>
      </c>
      <c r="H18" s="5">
        <v>7.7106481481481492E-4</v>
      </c>
      <c r="I18" s="5">
        <v>1.5658564814814814E-3</v>
      </c>
      <c r="K18">
        <v>124080</v>
      </c>
      <c r="L18" s="2">
        <f>_xlfn.LET(_xlpm.x,Table1271631435567[[#This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7.9479166666666674E-4</v>
      </c>
      <c r="M18" s="3">
        <f>IF(Table1271631435567[[#This Row],[run 1 times]]="",999.99,IF(Table1271631435567[[#This Row],[run 1 times]]=$S$3,0,MAX(0,ROUND(((Table1271631435567[[#This Row],[run 1 times]]-$S$3)/$S$3)*$T$6,2))))</f>
        <v>384.38</v>
      </c>
      <c r="N18" s="2">
        <f>_xlfn.LET(_xlpm.x,Table1271631435567[[#This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7.7106481481481492E-4</v>
      </c>
      <c r="O18" s="3">
        <f>IF(Table1271631435567[[#This Row],[run2 times]]="",999.99,IF(Table1271631435567[[#This Row],[run2 times]]=$T$3,0,MAX(0,ROUND(((Table1271631435567[[#This Row],[run2 times]]-$T$3)/$T$3)*$T$6,2))))</f>
        <v>326.63</v>
      </c>
      <c r="P18" s="2">
        <f>IF(OR(Table1271631435567[[#This Row],[run 1 times]]="",Table1271631435567[[#This Row],[run2 times]]=""),"",Table1271631435567[[#This Row],[run 1 times]]+Table1271631435567[[#This Row],[run2 times]])</f>
        <v>1.5658564814814817E-3</v>
      </c>
      <c r="Q18" s="3">
        <f>IF(Table1271631435567[[#This Row],[total time]]="",999.99,IF(Table1271631435567[[#This Row],[total time]]=$U$3,0,MAX(0,ROUND(((Table1271631435567[[#This Row],[total time]]-$U$3)/$U$3)*$T$6,2))))</f>
        <v>355.34</v>
      </c>
      <c r="W18">
        <v>1</v>
      </c>
      <c r="X18">
        <v>64</v>
      </c>
      <c r="Y18" t="s">
        <v>24</v>
      </c>
      <c r="Z18" t="s">
        <v>552</v>
      </c>
      <c r="AA18" t="s">
        <v>899</v>
      </c>
      <c r="AB18">
        <v>2008</v>
      </c>
      <c r="AC18">
        <v>46.22</v>
      </c>
      <c r="AD18">
        <v>49.9</v>
      </c>
      <c r="AE18" s="5">
        <v>1.1125E-3</v>
      </c>
      <c r="AG18">
        <v>87553</v>
      </c>
      <c r="AH18" s="2">
        <f>_xlfn.LET(_xlpm.x,Table1221101934465870[[#This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5.3495370370370372E-4</v>
      </c>
      <c r="AI18" s="3">
        <f>IF(Table1221101934465870[[#This Row],[run 1 times]]="",999.99,IF(Table1221101934465870[[#This Row],[run 1 times]]=$AO$3,0,MAX(0,ROUND(((Table1221101934465870[[#This Row],[run 1 times]]-$AO$3)/$AO$3)*$AO$6,2))))</f>
        <v>8.6300000000000008</v>
      </c>
      <c r="AJ18" s="2">
        <f>_xlfn.LET(_xlpm.x,Table1221101934465870[[#This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5.7754629629629627E-4</v>
      </c>
      <c r="AK18" s="3">
        <f>IF(Table1221101934465870[[#This Row],[run2 times]]="",999.99,IF(Table1221101934465870[[#This Row],[run2 times]]=$AP$3,0,MAX(0,ROUND(((Table1221101934465870[[#This Row],[run2 times]]-$AP$3)/$AP$3)*$AO$6,2))))</f>
        <v>8.73</v>
      </c>
      <c r="AL18" s="2">
        <f>IF(OR(Table1221101934465870[[#This Row],[run 1 times]]="",Table1221101934465870[[#This Row],[run2 times]]=""),"",Table1221101934465870[[#This Row],[run 1 times]]+Table1221101934465870[[#This Row],[run2 times]])</f>
        <v>1.1125E-3</v>
      </c>
      <c r="AM18" s="3">
        <f>IF(Table1221101934465870[[#This Row],[total time]]="",999.99,IF(Table1221101934465870[[#This Row],[total time]]=$AQ$3,0,MAX(0,ROUND(((Table1221101934465870[[#This Row],[total time]]-$AQ$3)/$AQ$3)*$AO$6,2))))</f>
        <v>1.52</v>
      </c>
    </row>
    <row r="19" spans="1:39" x14ac:dyDescent="0.3">
      <c r="A19">
        <v>28</v>
      </c>
      <c r="B19">
        <v>11</v>
      </c>
      <c r="C19" t="s">
        <v>24</v>
      </c>
      <c r="D19" t="s">
        <v>480</v>
      </c>
      <c r="E19" t="s">
        <v>498</v>
      </c>
      <c r="G19" s="5">
        <v>7.83449074074074E-4</v>
      </c>
      <c r="H19" s="5">
        <v>8.0057870370370374E-4</v>
      </c>
      <c r="I19" s="5">
        <v>1.584027777777778E-3</v>
      </c>
      <c r="K19">
        <v>108671</v>
      </c>
      <c r="L19" s="2">
        <f>_xlfn.LET(_xlpm.x,Table1271631435567[[#This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7.83449074074074E-4</v>
      </c>
      <c r="M19" s="3">
        <f>IF(Table1271631435567[[#This Row],[run 1 times]]="",999.99,IF(Table1271631435567[[#This Row],[run 1 times]]=$S$3,0,MAX(0,ROUND(((Table1271631435567[[#This Row],[run 1 times]]-$S$3)/$S$3)*$T$6,2))))</f>
        <v>364.49</v>
      </c>
      <c r="N19" s="2">
        <f>_xlfn.LET(_xlpm.x,Table1271631435567[[#This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8.0057870370370374E-4</v>
      </c>
      <c r="O19" s="3">
        <f>IF(Table1271631435567[[#This Row],[run2 times]]="",999.99,IF(Table1271631435567[[#This Row],[run2 times]]=$T$3,0,MAX(0,ROUND(((Table1271631435567[[#This Row],[run2 times]]-$T$3)/$T$3)*$T$6,2))))</f>
        <v>377.8</v>
      </c>
      <c r="P19" s="2">
        <f>IF(OR(Table1271631435567[[#This Row],[run 1 times]]="",Table1271631435567[[#This Row],[run2 times]]=""),"",Table1271631435567[[#This Row],[run 1 times]]+Table1271631435567[[#This Row],[run2 times]])</f>
        <v>1.5840277777777777E-3</v>
      </c>
      <c r="Q19" s="3">
        <f>IF(Table1271631435567[[#This Row],[total time]]="",999.99,IF(Table1271631435567[[#This Row],[total time]]=$U$3,0,MAX(0,ROUND(((Table1271631435567[[#This Row],[total time]]-$U$3)/$U$3)*$T$6,2))))</f>
        <v>371.18</v>
      </c>
      <c r="W19">
        <v>20</v>
      </c>
      <c r="X19">
        <v>65</v>
      </c>
      <c r="Y19" t="s">
        <v>223</v>
      </c>
      <c r="Z19" t="s">
        <v>552</v>
      </c>
      <c r="AA19" t="s">
        <v>569</v>
      </c>
      <c r="AB19">
        <v>2008</v>
      </c>
      <c r="AC19">
        <v>46.53</v>
      </c>
      <c r="AD19">
        <v>50.94</v>
      </c>
      <c r="AE19" s="5">
        <v>1.128125E-3</v>
      </c>
      <c r="AG19">
        <v>85061</v>
      </c>
      <c r="AH19" s="2">
        <f>_xlfn.LET(_xlpm.x,Table1221101934465870[[#This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5.3854166666666666E-4</v>
      </c>
      <c r="AI19" s="3">
        <f>IF(Table1221101934465870[[#This Row],[run 1 times]]="",999.99,IF(Table1221101934465870[[#This Row],[run 1 times]]=$AO$3,0,MAX(0,ROUND(((Table1221101934465870[[#This Row],[run 1 times]]-$AO$3)/$AO$3)*$AO$6,2))))</f>
        <v>13.58</v>
      </c>
      <c r="AJ19" s="2">
        <f>_xlfn.LET(_xlpm.x,Table1221101934465870[[#This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5.8958333333333334E-4</v>
      </c>
      <c r="AK19" s="3">
        <f>IF(Table1221101934465870[[#This Row],[run2 times]]="",999.99,IF(Table1221101934465870[[#This Row],[run2 times]]=$AP$3,0,MAX(0,ROUND(((Table1221101934465870[[#This Row],[run2 times]]-$AP$3)/$AP$3)*$AO$6,2))))</f>
        <v>24.13</v>
      </c>
      <c r="AL19" s="2">
        <f>IF(OR(Table1221101934465870[[#This Row],[run 1 times]]="",Table1221101934465870[[#This Row],[run2 times]]=""),"",Table1221101934465870[[#This Row],[run 1 times]]+Table1221101934465870[[#This Row],[run2 times]])</f>
        <v>1.128125E-3</v>
      </c>
      <c r="AM19" s="3">
        <f>IF(Table1221101934465870[[#This Row],[total time]]="",999.99,IF(Table1221101934465870[[#This Row],[total time]]=$AQ$3,0,MAX(0,ROUND(((Table1221101934465870[[#This Row],[total time]]-$AQ$3)/$AQ$3)*$AO$6,2))))</f>
        <v>11.8</v>
      </c>
    </row>
    <row r="20" spans="1:39" x14ac:dyDescent="0.3">
      <c r="A20">
        <v>5</v>
      </c>
      <c r="B20">
        <v>22</v>
      </c>
      <c r="C20" t="s">
        <v>24</v>
      </c>
      <c r="D20" t="s">
        <v>522</v>
      </c>
      <c r="E20" t="s">
        <v>525</v>
      </c>
      <c r="F20">
        <v>2012</v>
      </c>
      <c r="G20">
        <v>49.74</v>
      </c>
      <c r="H20">
        <v>50.34</v>
      </c>
      <c r="I20" s="5">
        <v>1.1583333333333333E-3</v>
      </c>
      <c r="K20">
        <v>93740</v>
      </c>
      <c r="L20" s="2">
        <f>_xlfn.LET(_xlpm.x,Table1271631435567[[#This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5.7569444444444443E-4</v>
      </c>
      <c r="M20" s="3">
        <f>IF(Table1271631435567[[#This Row],[run 1 times]]="",999.99,IF(Table1271631435567[[#This Row],[run 1 times]]=$S$3,0,MAX(0,ROUND(((Table1271631435567[[#This Row],[run 1 times]]-$S$3)/$S$3)*$T$6,2))))</f>
        <v>0</v>
      </c>
      <c r="N20" s="2">
        <f>_xlfn.LET(_xlpm.x,Table1271631435567[[#This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5.8263888888888894E-4</v>
      </c>
      <c r="O20" s="3">
        <f>IF(Table1271631435567[[#This Row],[run2 times]]="",999.99,IF(Table1271631435567[[#This Row],[run2 times]]=$T$3,0,MAX(0,ROUND(((Table1271631435567[[#This Row],[run2 times]]-$T$3)/$T$3)*$T$6,2))))</f>
        <v>0</v>
      </c>
      <c r="P20" s="2">
        <f>IF(OR(Table1271631435567[[#This Row],[run 1 times]]="",Table1271631435567[[#This Row],[run2 times]]=""),"",Table1271631435567[[#This Row],[run 1 times]]+Table1271631435567[[#This Row],[run2 times]])</f>
        <v>1.1583333333333333E-3</v>
      </c>
      <c r="Q20" s="3">
        <f>IF(Table1271631435567[[#This Row],[total time]]="",999.99,IF(Table1271631435567[[#This Row],[total time]]=$U$3,0,MAX(0,ROUND(((Table1271631435567[[#This Row],[total time]]-$U$3)/$U$3)*$T$6,2))))</f>
        <v>0</v>
      </c>
      <c r="W20">
        <v>10</v>
      </c>
      <c r="X20">
        <v>55</v>
      </c>
      <c r="Y20" t="s">
        <v>223</v>
      </c>
      <c r="Z20" t="s">
        <v>552</v>
      </c>
      <c r="AA20" t="s">
        <v>900</v>
      </c>
      <c r="AB20">
        <v>2008</v>
      </c>
      <c r="AC20">
        <v>48.97</v>
      </c>
      <c r="AD20">
        <v>52.23</v>
      </c>
      <c r="AE20" s="5">
        <v>1.1712962962962964E-3</v>
      </c>
      <c r="AG20">
        <v>89136</v>
      </c>
      <c r="AH20" s="2">
        <f>_xlfn.LET(_xlpm.x,Table1221101934465870[[#This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5.6678240740740745E-4</v>
      </c>
      <c r="AI20" s="3">
        <f>IF(Table1221101934465870[[#This Row],[run 1 times]]="",999.99,IF(Table1221101934465870[[#This Row],[run 1 times]]=$AO$3,0,MAX(0,ROUND(((Table1221101934465870[[#This Row],[run 1 times]]-$AO$3)/$AO$3)*$AO$6,2))))</f>
        <v>52.58</v>
      </c>
      <c r="AJ20" s="2">
        <f>_xlfn.LET(_xlpm.x,Table1221101934465870[[#This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6.0451388888888881E-4</v>
      </c>
      <c r="AK20" s="3">
        <f>IF(Table1221101934465870[[#This Row],[run2 times]]="",999.99,IF(Table1221101934465870[[#This Row],[run2 times]]=$AP$3,0,MAX(0,ROUND(((Table1221101934465870[[#This Row],[run2 times]]-$AP$3)/$AP$3)*$AO$6,2))))</f>
        <v>43.23</v>
      </c>
      <c r="AL20" s="2">
        <f>IF(OR(Table1221101934465870[[#This Row],[run 1 times]]="",Table1221101934465870[[#This Row],[run2 times]]=""),"",Table1221101934465870[[#This Row],[run 1 times]]+Table1221101934465870[[#This Row],[run2 times]])</f>
        <v>1.1712962962962961E-3</v>
      </c>
      <c r="AM20" s="3">
        <f>IF(Table1221101934465870[[#This Row],[total time]]="",999.99,IF(Table1221101934465870[[#This Row],[total time]]=$AQ$3,0,MAX(0,ROUND(((Table1221101934465870[[#This Row],[total time]]-$AQ$3)/$AQ$3)*$AO$6,2))))</f>
        <v>40.18</v>
      </c>
    </row>
    <row r="21" spans="1:39" x14ac:dyDescent="0.3">
      <c r="A21">
        <v>27</v>
      </c>
      <c r="B21">
        <v>10</v>
      </c>
      <c r="C21" t="s">
        <v>24</v>
      </c>
      <c r="D21" t="s">
        <v>522</v>
      </c>
      <c r="E21" t="s">
        <v>546</v>
      </c>
      <c r="F21">
        <v>2012</v>
      </c>
      <c r="G21">
        <v>51.62</v>
      </c>
      <c r="H21">
        <v>51.71</v>
      </c>
      <c r="I21" s="5">
        <v>1.1959490740740741E-3</v>
      </c>
      <c r="K21">
        <v>102776</v>
      </c>
      <c r="L21" s="2">
        <f>_xlfn.LET(_xlpm.x,Table1271631435567[[#This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5.9745370370370367E-4</v>
      </c>
      <c r="M21" s="3">
        <f>IF(Table1271631435567[[#This Row],[run 1 times]]="",999.99,IF(Table1271631435567[[#This Row],[run 1 times]]=$S$3,0,MAX(0,ROUND(((Table1271631435567[[#This Row],[run 1 times]]-$S$3)/$S$3)*$T$6,2))))</f>
        <v>38.17</v>
      </c>
      <c r="N21" s="2">
        <f>_xlfn.LET(_xlpm.x,Table1271631435567[[#This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5.9849537037037033E-4</v>
      </c>
      <c r="O21" s="3">
        <f>IF(Table1271631435567[[#This Row],[run2 times]]="",999.99,IF(Table1271631435567[[#This Row],[run2 times]]=$T$3,0,MAX(0,ROUND(((Table1271631435567[[#This Row],[run2 times]]-$T$3)/$T$3)*$T$6,2))))</f>
        <v>27.49</v>
      </c>
      <c r="P21" s="2">
        <f>IF(OR(Table1271631435567[[#This Row],[run 1 times]]="",Table1271631435567[[#This Row],[run2 times]]=""),"",Table1271631435567[[#This Row],[run 1 times]]+Table1271631435567[[#This Row],[run2 times]])</f>
        <v>1.1959490740740741E-3</v>
      </c>
      <c r="Q21" s="3">
        <f>IF(Table1271631435567[[#This Row],[total time]]="",999.99,IF(Table1271631435567[[#This Row],[total time]]=$U$3,0,MAX(0,ROUND(((Table1271631435567[[#This Row],[total time]]-$U$3)/$U$3)*$T$6,2))))</f>
        <v>32.799999999999997</v>
      </c>
      <c r="W21">
        <v>19</v>
      </c>
      <c r="X21">
        <v>66</v>
      </c>
      <c r="Y21" t="s">
        <v>24</v>
      </c>
      <c r="Z21" t="s">
        <v>552</v>
      </c>
      <c r="AA21" t="s">
        <v>559</v>
      </c>
      <c r="AB21">
        <v>2009</v>
      </c>
      <c r="AC21">
        <v>50.81</v>
      </c>
      <c r="AD21">
        <v>55.01</v>
      </c>
      <c r="AE21" s="5">
        <v>1.2247685185185185E-3</v>
      </c>
      <c r="AG21">
        <v>91622</v>
      </c>
      <c r="AH21" s="2">
        <f>_xlfn.LET(_xlpm.x,Table1221101934465870[[#This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5.8807870370370372E-4</v>
      </c>
      <c r="AI21" s="3">
        <f>IF(Table1221101934465870[[#This Row],[run 1 times]]="",999.99,IF(Table1221101934465870[[#This Row],[run 1 times]]=$AO$3,0,MAX(0,ROUND(((Table1221101934465870[[#This Row],[run 1 times]]-$AO$3)/$AO$3)*$AO$6,2))))</f>
        <v>81.98</v>
      </c>
      <c r="AJ21" s="2">
        <f>_xlfn.LET(_xlpm.x,Table1221101934465870[[#This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6.3668981481481476E-4</v>
      </c>
      <c r="AK21" s="3">
        <f>IF(Table1221101934465870[[#This Row],[run2 times]]="",999.99,IF(Table1221101934465870[[#This Row],[run2 times]]=$AP$3,0,MAX(0,ROUND(((Table1221101934465870[[#This Row],[run2 times]]-$AP$3)/$AP$3)*$AO$6,2))))</f>
        <v>84.38</v>
      </c>
      <c r="AL21" s="2">
        <f>IF(OR(Table1221101934465870[[#This Row],[run 1 times]]="",Table1221101934465870[[#This Row],[run2 times]]=""),"",Table1221101934465870[[#This Row],[run 1 times]]+Table1221101934465870[[#This Row],[run2 times]])</f>
        <v>1.2247685185185185E-3</v>
      </c>
      <c r="AM21" s="3">
        <f>IF(Table1221101934465870[[#This Row],[total time]]="",999.99,IF(Table1221101934465870[[#This Row],[total time]]=$AQ$3,0,MAX(0,ROUND(((Table1221101934465870[[#This Row],[total time]]-$AQ$3)/$AQ$3)*$AO$6,2))))</f>
        <v>75.34</v>
      </c>
    </row>
    <row r="22" spans="1:39" x14ac:dyDescent="0.3">
      <c r="A22">
        <v>9</v>
      </c>
      <c r="B22">
        <v>26</v>
      </c>
      <c r="C22" t="s">
        <v>223</v>
      </c>
      <c r="D22" t="s">
        <v>522</v>
      </c>
      <c r="E22" t="s">
        <v>538</v>
      </c>
      <c r="F22">
        <v>2012</v>
      </c>
      <c r="G22">
        <v>51.59</v>
      </c>
      <c r="H22">
        <v>52.41</v>
      </c>
      <c r="I22" s="5">
        <v>1.2037037037037038E-3</v>
      </c>
      <c r="K22">
        <v>102457</v>
      </c>
      <c r="L22" s="2">
        <f>_xlfn.LET(_xlpm.x,Table1271631435567[[#This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5.9710648148148155E-4</v>
      </c>
      <c r="M22" s="3">
        <f>IF(Table1271631435567[[#This Row],[run 1 times]]="",999.99,IF(Table1271631435567[[#This Row],[run 1 times]]=$S$3,0,MAX(0,ROUND(((Table1271631435567[[#This Row],[run 1 times]]-$S$3)/$S$3)*$T$6,2))))</f>
        <v>37.57</v>
      </c>
      <c r="N22" s="2">
        <f>_xlfn.LET(_xlpm.x,Table1271631435567[[#This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6.0659722222222213E-4</v>
      </c>
      <c r="O22" s="3">
        <f>IF(Table1271631435567[[#This Row],[run2 times]]="",999.99,IF(Table1271631435567[[#This Row],[run2 times]]=$T$3,0,MAX(0,ROUND(((Table1271631435567[[#This Row],[run2 times]]-$T$3)/$T$3)*$T$6,2))))</f>
        <v>41.53</v>
      </c>
      <c r="P22" s="2">
        <f>IF(OR(Table1271631435567[[#This Row],[run 1 times]]="",Table1271631435567[[#This Row],[run2 times]]=""),"",Table1271631435567[[#This Row],[run 1 times]]+Table1271631435567[[#This Row],[run2 times]])</f>
        <v>1.2037037037037038E-3</v>
      </c>
      <c r="Q22" s="3">
        <f>IF(Table1271631435567[[#This Row],[total time]]="",999.99,IF(Table1271631435567[[#This Row],[total time]]=$U$3,0,MAX(0,ROUND(((Table1271631435567[[#This Row],[total time]]-$U$3)/$U$3)*$T$6,2))))</f>
        <v>39.56</v>
      </c>
      <c r="W22">
        <v>4</v>
      </c>
      <c r="X22">
        <v>61</v>
      </c>
      <c r="Y22" t="s">
        <v>257</v>
      </c>
      <c r="Z22" t="s">
        <v>552</v>
      </c>
      <c r="AA22" t="s">
        <v>567</v>
      </c>
      <c r="AB22">
        <v>2009</v>
      </c>
      <c r="AC22">
        <v>53.62</v>
      </c>
      <c r="AD22">
        <v>57.39</v>
      </c>
      <c r="AE22" s="5">
        <v>1.2848379629629629E-3</v>
      </c>
      <c r="AG22">
        <v>117692</v>
      </c>
      <c r="AH22" s="2">
        <f>_xlfn.LET(_xlpm.x,Table1221101934465870[[#This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6.2060185185185178E-4</v>
      </c>
      <c r="AI22" s="3">
        <f>IF(Table1221101934465870[[#This Row],[run 1 times]]="",999.99,IF(Table1221101934465870[[#This Row],[run 1 times]]=$AO$3,0,MAX(0,ROUND(((Table1221101934465870[[#This Row],[run 1 times]]-$AO$3)/$AO$3)*$AO$6,2))))</f>
        <v>126.89</v>
      </c>
      <c r="AJ22" s="2">
        <f>_xlfn.LET(_xlpm.x,Table1221101934465870[[#This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6.642361111111111E-4</v>
      </c>
      <c r="AK22" s="3">
        <f>IF(Table1221101934465870[[#This Row],[run2 times]]="",999.99,IF(Table1221101934465870[[#This Row],[run2 times]]=$AP$3,0,MAX(0,ROUND(((Table1221101934465870[[#This Row],[run2 times]]-$AP$3)/$AP$3)*$AO$6,2))))</f>
        <v>119.62</v>
      </c>
      <c r="AL22" s="2">
        <f>IF(OR(Table1221101934465870[[#This Row],[run 1 times]]="",Table1221101934465870[[#This Row],[run2 times]]=""),"",Table1221101934465870[[#This Row],[run 1 times]]+Table1221101934465870[[#This Row],[run2 times]])</f>
        <v>1.2848379629629629E-3</v>
      </c>
      <c r="AM22" s="3">
        <f>IF(Table1221101934465870[[#This Row],[total time]]="",999.99,IF(Table1221101934465870[[#This Row],[total time]]=$AQ$3,0,MAX(0,ROUND(((Table1221101934465870[[#This Row],[total time]]-$AQ$3)/$AQ$3)*$AO$6,2))))</f>
        <v>114.84</v>
      </c>
    </row>
    <row r="23" spans="1:39" x14ac:dyDescent="0.3">
      <c r="A23">
        <v>25</v>
      </c>
      <c r="B23">
        <v>8</v>
      </c>
      <c r="C23" t="s">
        <v>24</v>
      </c>
      <c r="D23" t="s">
        <v>522</v>
      </c>
      <c r="E23" t="s">
        <v>524</v>
      </c>
      <c r="F23">
        <v>2012</v>
      </c>
      <c r="G23">
        <v>52.09</v>
      </c>
      <c r="H23">
        <v>51.98</v>
      </c>
      <c r="I23" s="5">
        <v>1.2045138888888889E-3</v>
      </c>
      <c r="K23">
        <v>93755</v>
      </c>
      <c r="L23" s="2">
        <f>_xlfn.LET(_xlpm.x,Table1271631435567[[#This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6.0289351851851856E-4</v>
      </c>
      <c r="M23" s="3">
        <f>IF(Table1271631435567[[#This Row],[run 1 times]]="",999.99,IF(Table1271631435567[[#This Row],[run 1 times]]=$S$3,0,MAX(0,ROUND(((Table1271631435567[[#This Row],[run 1 times]]-$S$3)/$S$3)*$T$6,2))))</f>
        <v>47.72</v>
      </c>
      <c r="N23" s="2">
        <f>_xlfn.LET(_xlpm.x,Table1271631435567[[#This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6.0162037037037031E-4</v>
      </c>
      <c r="O23" s="3">
        <f>IF(Table1271631435567[[#This Row],[run2 times]]="",999.99,IF(Table1271631435567[[#This Row],[run2 times]]=$T$3,0,MAX(0,ROUND(((Table1271631435567[[#This Row],[run2 times]]-$T$3)/$T$3)*$T$6,2))))</f>
        <v>32.9</v>
      </c>
      <c r="P23" s="2">
        <f>IF(OR(Table1271631435567[[#This Row],[run 1 times]]="",Table1271631435567[[#This Row],[run2 times]]=""),"",Table1271631435567[[#This Row],[run 1 times]]+Table1271631435567[[#This Row],[run2 times]])</f>
        <v>1.2045138888888889E-3</v>
      </c>
      <c r="Q23" s="3">
        <f>IF(Table1271631435567[[#This Row],[total time]]="",999.99,IF(Table1271631435567[[#This Row],[total time]]=$U$3,0,MAX(0,ROUND(((Table1271631435567[[#This Row],[total time]]-$U$3)/$U$3)*$T$6,2))))</f>
        <v>40.270000000000003</v>
      </c>
    </row>
    <row r="24" spans="1:39" x14ac:dyDescent="0.3">
      <c r="A24">
        <v>16</v>
      </c>
      <c r="B24">
        <v>33</v>
      </c>
      <c r="C24" t="s">
        <v>24</v>
      </c>
      <c r="D24" t="s">
        <v>522</v>
      </c>
      <c r="E24" t="s">
        <v>527</v>
      </c>
      <c r="F24">
        <v>2012</v>
      </c>
      <c r="G24">
        <v>51.43</v>
      </c>
      <c r="H24">
        <v>52.65</v>
      </c>
      <c r="I24" s="5">
        <v>1.2046296296296297E-3</v>
      </c>
      <c r="K24">
        <v>93762</v>
      </c>
      <c r="L24" s="2">
        <f>_xlfn.LET(_xlpm.x,Table1271631435567[[#This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5.9525462962962961E-4</v>
      </c>
      <c r="M24" s="3">
        <f>IF(Table1271631435567[[#This Row],[run 1 times]]="",999.99,IF(Table1271631435567[[#This Row],[run 1 times]]=$S$3,0,MAX(0,ROUND(((Table1271631435567[[#This Row],[run 1 times]]-$S$3)/$S$3)*$T$6,2))))</f>
        <v>34.32</v>
      </c>
      <c r="N24" s="2">
        <f>_xlfn.LET(_xlpm.x,Table1271631435567[[#This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6.09375E-4</v>
      </c>
      <c r="O24" s="3">
        <f>IF(Table1271631435567[[#This Row],[run2 times]]="",999.99,IF(Table1271631435567[[#This Row],[run2 times]]=$T$3,0,MAX(0,ROUND(((Table1271631435567[[#This Row],[run2 times]]-$T$3)/$T$3)*$T$6,2))))</f>
        <v>46.35</v>
      </c>
      <c r="P24" s="2">
        <f>IF(OR(Table1271631435567[[#This Row],[run 1 times]]="",Table1271631435567[[#This Row],[run2 times]]=""),"",Table1271631435567[[#This Row],[run 1 times]]+Table1271631435567[[#This Row],[run2 times]])</f>
        <v>1.2046296296296297E-3</v>
      </c>
      <c r="Q24" s="3">
        <f>IF(Table1271631435567[[#This Row],[total time]]="",999.99,IF(Table1271631435567[[#This Row],[total time]]=$U$3,0,MAX(0,ROUND(((Table1271631435567[[#This Row],[total time]]-$U$3)/$U$3)*$T$6,2))))</f>
        <v>40.369999999999997</v>
      </c>
    </row>
    <row r="25" spans="1:39" x14ac:dyDescent="0.3">
      <c r="A25">
        <v>1</v>
      </c>
      <c r="B25">
        <v>18</v>
      </c>
      <c r="C25" t="s">
        <v>24</v>
      </c>
      <c r="D25" t="s">
        <v>522</v>
      </c>
      <c r="E25" t="s">
        <v>533</v>
      </c>
      <c r="F25">
        <v>2013</v>
      </c>
      <c r="G25">
        <v>51.86</v>
      </c>
      <c r="H25">
        <v>52.94</v>
      </c>
      <c r="I25" s="5">
        <v>1.212962962962963E-3</v>
      </c>
      <c r="K25">
        <v>104666</v>
      </c>
      <c r="L25" s="2">
        <f>_xlfn.LET(_xlpm.x,Table1271631435567[[#This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6.0023148148148143E-4</v>
      </c>
      <c r="M25" s="3">
        <f>IF(Table1271631435567[[#This Row],[run 1 times]]="",999.99,IF(Table1271631435567[[#This Row],[run 1 times]]=$S$3,0,MAX(0,ROUND(((Table1271631435567[[#This Row],[run 1 times]]-$S$3)/$S$3)*$T$6,2))))</f>
        <v>43.05</v>
      </c>
      <c r="N25" s="2">
        <f>_xlfn.LET(_xlpm.x,Table1271631435567[[#This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6.1273148148148146E-4</v>
      </c>
      <c r="O25" s="3">
        <f>IF(Table1271631435567[[#This Row],[run2 times]]="",999.99,IF(Table1271631435567[[#This Row],[run2 times]]=$T$3,0,MAX(0,ROUND(((Table1271631435567[[#This Row],[run2 times]]-$T$3)/$T$3)*$T$6,2))))</f>
        <v>52.17</v>
      </c>
      <c r="P25" s="2">
        <f>IF(OR(Table1271631435567[[#This Row],[run 1 times]]="",Table1271631435567[[#This Row],[run2 times]]=""),"",Table1271631435567[[#This Row],[run 1 times]]+Table1271631435567[[#This Row],[run2 times]])</f>
        <v>1.212962962962963E-3</v>
      </c>
      <c r="Q25" s="3">
        <f>IF(Table1271631435567[[#This Row],[total time]]="",999.99,IF(Table1271631435567[[#This Row],[total time]]=$U$3,0,MAX(0,ROUND(((Table1271631435567[[#This Row],[total time]]-$U$3)/$U$3)*$T$6,2))))</f>
        <v>47.63</v>
      </c>
    </row>
    <row r="26" spans="1:39" x14ac:dyDescent="0.3">
      <c r="A26">
        <v>24</v>
      </c>
      <c r="B26">
        <v>7</v>
      </c>
      <c r="C26" t="s">
        <v>257</v>
      </c>
      <c r="D26" t="s">
        <v>522</v>
      </c>
      <c r="E26" t="s">
        <v>528</v>
      </c>
      <c r="F26">
        <v>2012</v>
      </c>
      <c r="G26">
        <v>52.12</v>
      </c>
      <c r="H26">
        <v>52.74</v>
      </c>
      <c r="I26" s="5">
        <v>1.2136574074074074E-3</v>
      </c>
      <c r="K26">
        <v>102713</v>
      </c>
      <c r="L26" s="2">
        <f>_xlfn.LET(_xlpm.x,Table1271631435567[[#This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6.0324074074074067E-4</v>
      </c>
      <c r="M26" s="3">
        <f>IF(Table1271631435567[[#This Row],[run 1 times]]="",999.99,IF(Table1271631435567[[#This Row],[run 1 times]]=$S$3,0,MAX(0,ROUND(((Table1271631435567[[#This Row],[run 1 times]]-$S$3)/$S$3)*$T$6,2))))</f>
        <v>48.33</v>
      </c>
      <c r="N26" s="2">
        <f>_xlfn.LET(_xlpm.x,Table1271631435567[[#This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6.1041666666666666E-4</v>
      </c>
      <c r="O26" s="3">
        <f>IF(Table1271631435567[[#This Row],[run2 times]]="",999.99,IF(Table1271631435567[[#This Row],[run2 times]]=$T$3,0,MAX(0,ROUND(((Table1271631435567[[#This Row],[run2 times]]-$T$3)/$T$3)*$T$6,2))))</f>
        <v>48.15</v>
      </c>
      <c r="P26" s="2">
        <f>IF(OR(Table1271631435567[[#This Row],[run 1 times]]="",Table1271631435567[[#This Row],[run2 times]]=""),"",Table1271631435567[[#This Row],[run 1 times]]+Table1271631435567[[#This Row],[run2 times]])</f>
        <v>1.2136574074074072E-3</v>
      </c>
      <c r="Q26" s="3">
        <f>IF(Table1271631435567[[#This Row],[total time]]="",999.99,IF(Table1271631435567[[#This Row],[total time]]=$U$3,0,MAX(0,ROUND(((Table1271631435567[[#This Row],[total time]]-$U$3)/$U$3)*$T$6,2))))</f>
        <v>48.24</v>
      </c>
    </row>
    <row r="27" spans="1:39" x14ac:dyDescent="0.3">
      <c r="A27">
        <v>2</v>
      </c>
      <c r="B27">
        <v>19</v>
      </c>
      <c r="C27" t="s">
        <v>257</v>
      </c>
      <c r="D27" t="s">
        <v>522</v>
      </c>
      <c r="E27" t="s">
        <v>532</v>
      </c>
      <c r="F27">
        <v>2013</v>
      </c>
      <c r="G27">
        <v>52.87</v>
      </c>
      <c r="H27">
        <v>52.37</v>
      </c>
      <c r="I27" s="5">
        <v>1.2180555555555556E-3</v>
      </c>
      <c r="K27">
        <v>117693</v>
      </c>
      <c r="L27" s="2">
        <f>_xlfn.LET(_xlpm.x,Table1271631435567[[#This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6.1192129629629628E-4</v>
      </c>
      <c r="M27" s="3">
        <f>IF(Table1271631435567[[#This Row],[run 1 times]]="",999.99,IF(Table1271631435567[[#This Row],[run 1 times]]=$S$3,0,MAX(0,ROUND(((Table1271631435567[[#This Row],[run 1 times]]-$S$3)/$S$3)*$T$6,2))))</f>
        <v>63.56</v>
      </c>
      <c r="N27" s="2">
        <f>_xlfn.LET(_xlpm.x,Table1271631435567[[#This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6.0613425925925928E-4</v>
      </c>
      <c r="O27" s="3">
        <f>IF(Table1271631435567[[#This Row],[run2 times]]="",999.99,IF(Table1271631435567[[#This Row],[run2 times]]=$T$3,0,MAX(0,ROUND(((Table1271631435567[[#This Row],[run2 times]]-$T$3)/$T$3)*$T$6,2))))</f>
        <v>40.729999999999997</v>
      </c>
      <c r="P27" s="2">
        <f>IF(OR(Table1271631435567[[#This Row],[run 1 times]]="",Table1271631435567[[#This Row],[run2 times]]=""),"",Table1271631435567[[#This Row],[run 1 times]]+Table1271631435567[[#This Row],[run2 times]])</f>
        <v>1.2180555555555556E-3</v>
      </c>
      <c r="Q27" s="3">
        <f>IF(Table1271631435567[[#This Row],[total time]]="",999.99,IF(Table1271631435567[[#This Row],[total time]]=$U$3,0,MAX(0,ROUND(((Table1271631435567[[#This Row],[total time]]-$U$3)/$U$3)*$T$6,2))))</f>
        <v>52.07</v>
      </c>
    </row>
    <row r="28" spans="1:39" x14ac:dyDescent="0.3">
      <c r="A28">
        <v>23</v>
      </c>
      <c r="B28">
        <v>6</v>
      </c>
      <c r="C28" t="s">
        <v>24</v>
      </c>
      <c r="D28" t="s">
        <v>522</v>
      </c>
      <c r="E28" t="s">
        <v>539</v>
      </c>
      <c r="F28">
        <v>2012</v>
      </c>
      <c r="G28">
        <v>53.79</v>
      </c>
      <c r="H28">
        <v>53.81</v>
      </c>
      <c r="I28" s="5">
        <v>1.2453703703703702E-3</v>
      </c>
      <c r="K28">
        <v>102777</v>
      </c>
      <c r="L28" s="2">
        <f>_xlfn.LET(_xlpm.x,Table1271631435567[[#This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6.2256944444444447E-4</v>
      </c>
      <c r="M28" s="3">
        <f>IF(Table1271631435567[[#This Row],[run 1 times]]="",999.99,IF(Table1271631435567[[#This Row],[run 1 times]]=$S$3,0,MAX(0,ROUND(((Table1271631435567[[#This Row],[run 1 times]]-$S$3)/$S$3)*$T$6,2))))</f>
        <v>82.24</v>
      </c>
      <c r="N28" s="2">
        <f>_xlfn.LET(_xlpm.x,Table1271631435567[[#This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6.2280092592592595E-4</v>
      </c>
      <c r="O28" s="3">
        <f>IF(Table1271631435567[[#This Row],[run2 times]]="",999.99,IF(Table1271631435567[[#This Row],[run2 times]]=$T$3,0,MAX(0,ROUND(((Table1271631435567[[#This Row],[run2 times]]-$T$3)/$T$3)*$T$6,2))))</f>
        <v>69.62</v>
      </c>
      <c r="P28" s="2">
        <f>IF(OR(Table1271631435567[[#This Row],[run 1 times]]="",Table1271631435567[[#This Row],[run2 times]]=""),"",Table1271631435567[[#This Row],[run 1 times]]+Table1271631435567[[#This Row],[run2 times]])</f>
        <v>1.2453703703703704E-3</v>
      </c>
      <c r="Q28" s="3">
        <f>IF(Table1271631435567[[#This Row],[total time]]="",999.99,IF(Table1271631435567[[#This Row],[total time]]=$U$3,0,MAX(0,ROUND(((Table1271631435567[[#This Row],[total time]]-$U$3)/$U$3)*$T$6,2))))</f>
        <v>75.89</v>
      </c>
    </row>
    <row r="29" spans="1:39" x14ac:dyDescent="0.3">
      <c r="A29">
        <v>20</v>
      </c>
      <c r="B29">
        <v>3</v>
      </c>
      <c r="C29" t="s">
        <v>257</v>
      </c>
      <c r="D29" t="s">
        <v>522</v>
      </c>
      <c r="E29" t="s">
        <v>526</v>
      </c>
      <c r="F29">
        <v>2012</v>
      </c>
      <c r="G29">
        <v>54.43</v>
      </c>
      <c r="H29">
        <v>54.89</v>
      </c>
      <c r="I29" s="5">
        <v>1.2652777777777777E-3</v>
      </c>
      <c r="K29">
        <v>107311</v>
      </c>
      <c r="L29" s="2">
        <f>_xlfn.LET(_xlpm.x,Table1271631435567[[#This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6.2997685185185183E-4</v>
      </c>
      <c r="M29" s="3">
        <f>IF(Table1271631435567[[#This Row],[run 1 times]]="",999.99,IF(Table1271631435567[[#This Row],[run 1 times]]=$S$3,0,MAX(0,ROUND(((Table1271631435567[[#This Row],[run 1 times]]-$S$3)/$S$3)*$T$6,2))))</f>
        <v>95.23</v>
      </c>
      <c r="N29" s="2">
        <f>_xlfn.LET(_xlpm.x,Table1271631435567[[#This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6.3530092592592599E-4</v>
      </c>
      <c r="O29" s="3">
        <f>IF(Table1271631435567[[#This Row],[run2 times]]="",999.99,IF(Table1271631435567[[#This Row],[run2 times]]=$T$3,0,MAX(0,ROUND(((Table1271631435567[[#This Row],[run2 times]]-$T$3)/$T$3)*$T$6,2))))</f>
        <v>91.29</v>
      </c>
      <c r="P29" s="2">
        <f>IF(OR(Table1271631435567[[#This Row],[run 1 times]]="",Table1271631435567[[#This Row],[run2 times]]=""),"",Table1271631435567[[#This Row],[run 1 times]]+Table1271631435567[[#This Row],[run2 times]])</f>
        <v>1.2652777777777779E-3</v>
      </c>
      <c r="Q29" s="3">
        <f>IF(Table1271631435567[[#This Row],[total time]]="",999.99,IF(Table1271631435567[[#This Row],[total time]]=$U$3,0,MAX(0,ROUND(((Table1271631435567[[#This Row],[total time]]-$U$3)/$U$3)*$T$6,2))))</f>
        <v>93.25</v>
      </c>
    </row>
    <row r="30" spans="1:39" x14ac:dyDescent="0.3">
      <c r="A30">
        <v>4</v>
      </c>
      <c r="B30">
        <v>21</v>
      </c>
      <c r="C30" t="s">
        <v>24</v>
      </c>
      <c r="D30" t="s">
        <v>522</v>
      </c>
      <c r="E30" t="s">
        <v>529</v>
      </c>
      <c r="F30">
        <v>2013</v>
      </c>
      <c r="G30">
        <v>54.51</v>
      </c>
      <c r="H30">
        <v>55</v>
      </c>
      <c r="I30" s="5">
        <v>1.2674768518518517E-3</v>
      </c>
      <c r="K30">
        <v>93764</v>
      </c>
      <c r="L30" s="2">
        <f>_xlfn.LET(_xlpm.x,Table1271631435567[[#This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6.3090277777777776E-4</v>
      </c>
      <c r="M30" s="3">
        <f>IF(Table1271631435567[[#This Row],[run 1 times]]="",999.99,IF(Table1271631435567[[#This Row],[run 1 times]]=$S$3,0,MAX(0,ROUND(((Table1271631435567[[#This Row],[run 1 times]]-$S$3)/$S$3)*$T$6,2))))</f>
        <v>96.86</v>
      </c>
      <c r="N30" s="2">
        <f>_xlfn.LET(_xlpm.x,Table1271631435567[[#This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6.3657407407407413E-4</v>
      </c>
      <c r="O30" s="3">
        <f>IF(Table1271631435567[[#This Row],[run2 times]]="",999.99,IF(Table1271631435567[[#This Row],[run2 times]]=$T$3,0,MAX(0,ROUND(((Table1271631435567[[#This Row],[run2 times]]-$T$3)/$T$3)*$T$6,2))))</f>
        <v>93.5</v>
      </c>
      <c r="P30" s="2">
        <f>IF(OR(Table1271631435567[[#This Row],[run 1 times]]="",Table1271631435567[[#This Row],[run2 times]]=""),"",Table1271631435567[[#This Row],[run 1 times]]+Table1271631435567[[#This Row],[run2 times]])</f>
        <v>1.2674768518518519E-3</v>
      </c>
      <c r="Q30" s="3">
        <f>IF(Table1271631435567[[#This Row],[total time]]="",999.99,IF(Table1271631435567[[#This Row],[total time]]=$U$3,0,MAX(0,ROUND(((Table1271631435567[[#This Row],[total time]]-$U$3)/$U$3)*$T$6,2))))</f>
        <v>95.17</v>
      </c>
    </row>
    <row r="31" spans="1:39" x14ac:dyDescent="0.3">
      <c r="A31">
        <v>3</v>
      </c>
      <c r="B31">
        <v>20</v>
      </c>
      <c r="C31" t="s">
        <v>257</v>
      </c>
      <c r="D31" t="s">
        <v>522</v>
      </c>
      <c r="E31" t="s">
        <v>530</v>
      </c>
      <c r="F31">
        <v>2013</v>
      </c>
      <c r="G31">
        <v>54.27</v>
      </c>
      <c r="H31">
        <v>55.49</v>
      </c>
      <c r="I31" s="5">
        <v>1.2703703703703703E-3</v>
      </c>
      <c r="K31">
        <v>112516</v>
      </c>
      <c r="L31" s="2">
        <f>_xlfn.LET(_xlpm.x,Table1271631435567[[#This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6.2812499999999999E-4</v>
      </c>
      <c r="M31" s="3">
        <f>IF(Table1271631435567[[#This Row],[run 1 times]]="",999.99,IF(Table1271631435567[[#This Row],[run 1 times]]=$S$3,0,MAX(0,ROUND(((Table1271631435567[[#This Row],[run 1 times]]-$S$3)/$S$3)*$T$6,2))))</f>
        <v>91.98</v>
      </c>
      <c r="N31" s="2">
        <f>_xlfn.LET(_xlpm.x,Table1271631435567[[#This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6.4224537037037039E-4</v>
      </c>
      <c r="O31" s="3">
        <f>IF(Table1271631435567[[#This Row],[run2 times]]="",999.99,IF(Table1271631435567[[#This Row],[run2 times]]=$T$3,0,MAX(0,ROUND(((Table1271631435567[[#This Row],[run2 times]]-$T$3)/$T$3)*$T$6,2))))</f>
        <v>103.33</v>
      </c>
      <c r="P31" s="2">
        <f>IF(OR(Table1271631435567[[#This Row],[run 1 times]]="",Table1271631435567[[#This Row],[run2 times]]=""),"",Table1271631435567[[#This Row],[run 1 times]]+Table1271631435567[[#This Row],[run2 times]])</f>
        <v>1.2703703703703705E-3</v>
      </c>
      <c r="Q31" s="3">
        <f>IF(Table1271631435567[[#This Row],[total time]]="",999.99,IF(Table1271631435567[[#This Row],[total time]]=$U$3,0,MAX(0,ROUND(((Table1271631435567[[#This Row],[total time]]-$U$3)/$U$3)*$T$6,2))))</f>
        <v>97.69</v>
      </c>
    </row>
    <row r="32" spans="1:39" x14ac:dyDescent="0.3">
      <c r="A32">
        <v>7</v>
      </c>
      <c r="B32">
        <v>24</v>
      </c>
      <c r="C32" t="s">
        <v>257</v>
      </c>
      <c r="D32" t="s">
        <v>522</v>
      </c>
      <c r="E32" t="s">
        <v>904</v>
      </c>
      <c r="F32">
        <v>2013</v>
      </c>
      <c r="G32">
        <v>54.81</v>
      </c>
      <c r="H32">
        <v>55</v>
      </c>
      <c r="I32" s="5">
        <v>1.2709490740740741E-3</v>
      </c>
      <c r="K32">
        <v>118512</v>
      </c>
      <c r="L32" s="2">
        <f>_xlfn.LET(_xlpm.x,Table1271631435567[[#This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6.3437500000000006E-4</v>
      </c>
      <c r="M32" s="3">
        <f>IF(Table1271631435567[[#This Row],[run 1 times]]="",999.99,IF(Table1271631435567[[#This Row],[run 1 times]]=$S$3,0,MAX(0,ROUND(((Table1271631435567[[#This Row],[run 1 times]]-$S$3)/$S$3)*$T$6,2))))</f>
        <v>102.95</v>
      </c>
      <c r="N32" s="2">
        <f>_xlfn.LET(_xlpm.x,Table1271631435567[[#This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6.3657407407407413E-4</v>
      </c>
      <c r="O32" s="3">
        <f>IF(Table1271631435567[[#This Row],[run2 times]]="",999.99,IF(Table1271631435567[[#This Row],[run2 times]]=$T$3,0,MAX(0,ROUND(((Table1271631435567[[#This Row],[run2 times]]-$T$3)/$T$3)*$T$6,2))))</f>
        <v>93.5</v>
      </c>
      <c r="P32" s="2">
        <f>IF(OR(Table1271631435567[[#This Row],[run 1 times]]="",Table1271631435567[[#This Row],[run2 times]]=""),"",Table1271631435567[[#This Row],[run 1 times]]+Table1271631435567[[#This Row],[run2 times]])</f>
        <v>1.2709490740740741E-3</v>
      </c>
      <c r="Q32" s="3">
        <f>IF(Table1271631435567[[#This Row],[total time]]="",999.99,IF(Table1271631435567[[#This Row],[total time]]=$U$3,0,MAX(0,ROUND(((Table1271631435567[[#This Row],[total time]]-$U$3)/$U$3)*$T$6,2))))</f>
        <v>98.19</v>
      </c>
    </row>
    <row r="33" spans="1:17" x14ac:dyDescent="0.3">
      <c r="A33">
        <v>12</v>
      </c>
      <c r="B33">
        <v>29</v>
      </c>
      <c r="C33" t="s">
        <v>257</v>
      </c>
      <c r="D33" t="s">
        <v>522</v>
      </c>
      <c r="E33" t="s">
        <v>534</v>
      </c>
      <c r="F33">
        <v>2013</v>
      </c>
      <c r="G33">
        <v>55.85</v>
      </c>
      <c r="H33">
        <v>57.03</v>
      </c>
      <c r="I33" s="5">
        <v>1.3064814814814814E-3</v>
      </c>
      <c r="K33">
        <v>107308</v>
      </c>
      <c r="L33" s="2">
        <f>_xlfn.LET(_xlpm.x,Table1271631435567[[#This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6.4641203703703703E-4</v>
      </c>
      <c r="M33" s="3">
        <f>IF(Table1271631435567[[#This Row],[run 1 times]]="",999.99,IF(Table1271631435567[[#This Row],[run 1 times]]=$S$3,0,MAX(0,ROUND(((Table1271631435567[[#This Row],[run 1 times]]-$S$3)/$S$3)*$T$6,2))))</f>
        <v>124.07</v>
      </c>
      <c r="N33" s="2">
        <f>_xlfn.LET(_xlpm.x,Table1271631435567[[#This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6.6006944444444446E-4</v>
      </c>
      <c r="O33" s="3">
        <f>IF(Table1271631435567[[#This Row],[run2 times]]="",999.99,IF(Table1271631435567[[#This Row],[run2 times]]=$T$3,0,MAX(0,ROUND(((Table1271631435567[[#This Row],[run2 times]]-$T$3)/$T$3)*$T$6,2))))</f>
        <v>134.22999999999999</v>
      </c>
      <c r="P33" s="2">
        <f>IF(OR(Table1271631435567[[#This Row],[run 1 times]]="",Table1271631435567[[#This Row],[run2 times]]=""),"",Table1271631435567[[#This Row],[run 1 times]]+Table1271631435567[[#This Row],[run2 times]])</f>
        <v>1.3064814814814814E-3</v>
      </c>
      <c r="Q33" s="3">
        <f>IF(Table1271631435567[[#This Row],[total time]]="",999.99,IF(Table1271631435567[[#This Row],[total time]]=$U$3,0,MAX(0,ROUND(((Table1271631435567[[#This Row],[total time]]-$U$3)/$U$3)*$T$6,2))))</f>
        <v>129.18</v>
      </c>
    </row>
    <row r="34" spans="1:17" x14ac:dyDescent="0.3">
      <c r="A34">
        <v>14</v>
      </c>
      <c r="B34">
        <v>31</v>
      </c>
      <c r="C34" t="s">
        <v>257</v>
      </c>
      <c r="D34" t="s">
        <v>522</v>
      </c>
      <c r="E34" t="s">
        <v>543</v>
      </c>
      <c r="F34">
        <v>2013</v>
      </c>
      <c r="G34">
        <v>57.9</v>
      </c>
      <c r="H34">
        <v>56.04</v>
      </c>
      <c r="I34" s="5">
        <v>1.31875E-3</v>
      </c>
      <c r="K34">
        <v>121965</v>
      </c>
      <c r="L34" s="2">
        <f>_xlfn.LET(_xlpm.x,Table1271631435567[[#This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6.7013888888888885E-4</v>
      </c>
      <c r="M34" s="3">
        <f>IF(Table1271631435567[[#This Row],[run 1 times]]="",999.99,IF(Table1271631435567[[#This Row],[run 1 times]]=$S$3,0,MAX(0,ROUND(((Table1271631435567[[#This Row],[run 1 times]]-$S$3)/$S$3)*$T$6,2))))</f>
        <v>165.69</v>
      </c>
      <c r="N34" s="2">
        <f>_xlfn.LET(_xlpm.x,Table1271631435567[[#This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6.4861111111111109E-4</v>
      </c>
      <c r="O34" s="3">
        <f>IF(Table1271631435567[[#This Row],[run2 times]]="",999.99,IF(Table1271631435567[[#This Row],[run2 times]]=$T$3,0,MAX(0,ROUND(((Table1271631435567[[#This Row],[run2 times]]-$T$3)/$T$3)*$T$6,2))))</f>
        <v>114.36</v>
      </c>
      <c r="P34" s="2">
        <f>IF(OR(Table1271631435567[[#This Row],[run 1 times]]="",Table1271631435567[[#This Row],[run2 times]]=""),"",Table1271631435567[[#This Row],[run 1 times]]+Table1271631435567[[#This Row],[run2 times]])</f>
        <v>1.31875E-3</v>
      </c>
      <c r="Q34" s="3">
        <f>IF(Table1271631435567[[#This Row],[total time]]="",999.99,IF(Table1271631435567[[#This Row],[total time]]=$U$3,0,MAX(0,ROUND(((Table1271631435567[[#This Row],[total time]]-$U$3)/$U$3)*$T$6,2))))</f>
        <v>139.87</v>
      </c>
    </row>
    <row r="35" spans="1:17" x14ac:dyDescent="0.3">
      <c r="A35">
        <v>29</v>
      </c>
      <c r="B35">
        <v>12</v>
      </c>
      <c r="C35" t="s">
        <v>257</v>
      </c>
      <c r="D35" t="s">
        <v>522</v>
      </c>
      <c r="E35" t="s">
        <v>535</v>
      </c>
      <c r="F35">
        <v>2012</v>
      </c>
      <c r="G35" s="5">
        <v>7.3564814814814814E-4</v>
      </c>
      <c r="H35" s="5">
        <v>7.092592592592593E-4</v>
      </c>
      <c r="I35" s="5">
        <v>1.4449074074074076E-3</v>
      </c>
      <c r="K35">
        <v>117000</v>
      </c>
      <c r="L35" s="2">
        <f>_xlfn.LET(_xlpm.x,Table1271631435567[[#This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7.3564814814814814E-4</v>
      </c>
      <c r="M35" s="3">
        <f>IF(Table1271631435567[[#This Row],[run 1 times]]="",999.99,IF(Table1271631435567[[#This Row],[run 1 times]]=$S$3,0,MAX(0,ROUND(((Table1271631435567[[#This Row],[run 1 times]]-$S$3)/$S$3)*$T$6,2))))</f>
        <v>280.62</v>
      </c>
      <c r="N35" s="2">
        <f>_xlfn.LET(_xlpm.x,Table1271631435567[[#This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7.092592592592593E-4</v>
      </c>
      <c r="O35" s="3">
        <f>IF(Table1271631435567[[#This Row],[run2 times]]="",999.99,IF(Table1271631435567[[#This Row],[run2 times]]=$T$3,0,MAX(0,ROUND(((Table1271631435567[[#This Row],[run2 times]]-$T$3)/$T$3)*$T$6,2))))</f>
        <v>219.5</v>
      </c>
      <c r="P35" s="2">
        <f>IF(OR(Table1271631435567[[#This Row],[run 1 times]]="",Table1271631435567[[#This Row],[run2 times]]=""),"",Table1271631435567[[#This Row],[run 1 times]]+Table1271631435567[[#This Row],[run2 times]])</f>
        <v>1.4449074074074073E-3</v>
      </c>
      <c r="Q35" s="3">
        <f>IF(Table1271631435567[[#This Row],[total time]]="",999.99,IF(Table1271631435567[[#This Row],[total time]]=$U$3,0,MAX(0,ROUND(((Table1271631435567[[#This Row],[total time]]-$U$3)/$U$3)*$T$6,2))))</f>
        <v>249.88</v>
      </c>
    </row>
    <row r="36" spans="1:17" x14ac:dyDescent="0.3">
      <c r="A36">
        <v>33</v>
      </c>
      <c r="B36">
        <v>16</v>
      </c>
      <c r="C36" t="s">
        <v>257</v>
      </c>
      <c r="D36" t="s">
        <v>522</v>
      </c>
      <c r="E36" t="s">
        <v>536</v>
      </c>
      <c r="F36">
        <v>2013</v>
      </c>
      <c r="G36" s="5">
        <v>8.3796296296296299E-4</v>
      </c>
      <c r="H36" s="5">
        <v>8.2210648148148149E-4</v>
      </c>
      <c r="I36" s="5">
        <v>1.6600694444444445E-3</v>
      </c>
      <c r="K36">
        <v>107310</v>
      </c>
      <c r="L36" s="2">
        <f>_xlfn.LET(_xlpm.x,Table1271631435567[[#This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8.3796296296296299E-4</v>
      </c>
      <c r="M36" s="3">
        <f>IF(Table1271631435567[[#This Row],[run 1 times]]="",999.99,IF(Table1271631435567[[#This Row],[run 1 times]]=$S$3,0,MAX(0,ROUND(((Table1271631435567[[#This Row],[run 1 times]]-$S$3)/$S$3)*$T$6,2))))</f>
        <v>460.12</v>
      </c>
      <c r="N36" s="2">
        <f>_xlfn.LET(_xlpm.x,Table1271631435567[[#This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8.2210648148148149E-4</v>
      </c>
      <c r="O36" s="3">
        <f>IF(Table1271631435567[[#This Row],[run2 times]]="",999.99,IF(Table1271631435567[[#This Row],[run2 times]]=$T$3,0,MAX(0,ROUND(((Table1271631435567[[#This Row],[run2 times]]-$T$3)/$T$3)*$T$6,2))))</f>
        <v>415.12</v>
      </c>
      <c r="P36" s="2">
        <f>IF(OR(Table1271631435567[[#This Row],[run 1 times]]="",Table1271631435567[[#This Row],[run2 times]]=""),"",Table1271631435567[[#This Row],[run 1 times]]+Table1271631435567[[#This Row],[run2 times]])</f>
        <v>1.6600694444444445E-3</v>
      </c>
      <c r="Q36" s="3">
        <f>IF(Table1271631435567[[#This Row],[total time]]="",999.99,IF(Table1271631435567[[#This Row],[total time]]=$U$3,0,MAX(0,ROUND(((Table1271631435567[[#This Row],[total time]]-$U$3)/$U$3)*$T$6,2))))</f>
        <v>437.49</v>
      </c>
    </row>
  </sheetData>
  <mergeCells count="2">
    <mergeCell ref="A1:U1"/>
    <mergeCell ref="W1:AQ1"/>
  </mergeCells>
  <pageMargins left="0.7" right="0.7" top="0.75" bottom="0.75" header="0.3" footer="0.3"/>
  <tableParts count="6">
    <tablePart r:id="rId1"/>
    <tablePart r:id="rId2"/>
    <tablePart r:id="rId3"/>
    <tablePart r:id="rId4"/>
    <tablePart r:id="rId5"/>
    <tablePart r:id="rId6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245F37-7918-49FF-A502-7A4370D10C2D}">
  <dimension ref="A1:AQ26"/>
  <sheetViews>
    <sheetView workbookViewId="0">
      <selection activeCell="G29" sqref="G29"/>
    </sheetView>
  </sheetViews>
  <sheetFormatPr defaultRowHeight="14.4" x14ac:dyDescent="0.3"/>
  <cols>
    <col min="1" max="1" width="13.5546875" customWidth="1"/>
    <col min="3" max="3" width="12.109375" customWidth="1"/>
    <col min="5" max="5" width="14.88671875" bestFit="1" customWidth="1"/>
    <col min="6" max="6" width="12.5546875" customWidth="1"/>
    <col min="7" max="7" width="15.21875" customWidth="1"/>
    <col min="8" max="8" width="17.6640625" customWidth="1"/>
    <col min="9" max="9" width="16.44140625" customWidth="1"/>
    <col min="10" max="10" width="12.21875" customWidth="1"/>
    <col min="11" max="11" width="13.109375" customWidth="1"/>
    <col min="12" max="12" width="11.6640625" customWidth="1"/>
    <col min="13" max="13" width="12.109375" customWidth="1"/>
    <col min="14" max="14" width="11.33203125" customWidth="1"/>
    <col min="15" max="15" width="12.109375" customWidth="1"/>
    <col min="16" max="16" width="10.33203125" customWidth="1"/>
    <col min="17" max="17" width="13.88671875" customWidth="1"/>
    <col min="19" max="19" width="14.5546875" customWidth="1"/>
    <col min="20" max="20" width="15.5546875" customWidth="1"/>
    <col min="21" max="21" width="18.5546875" customWidth="1"/>
  </cols>
  <sheetData>
    <row r="1" spans="1:43" ht="21" x14ac:dyDescent="0.4">
      <c r="A1" s="8" t="s">
        <v>597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W1" s="8" t="s">
        <v>598</v>
      </c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</row>
    <row r="2" spans="1:43" x14ac:dyDescent="0.3">
      <c r="A2" t="s">
        <v>459</v>
      </c>
      <c r="B2" t="s">
        <v>460</v>
      </c>
      <c r="C2" t="s">
        <v>461</v>
      </c>
      <c r="D2" t="s">
        <v>462</v>
      </c>
      <c r="E2" t="s">
        <v>463</v>
      </c>
      <c r="F2" t="s">
        <v>464</v>
      </c>
      <c r="G2" t="s">
        <v>465</v>
      </c>
      <c r="H2" t="s">
        <v>466</v>
      </c>
      <c r="I2" t="s">
        <v>467</v>
      </c>
      <c r="J2" t="s">
        <v>468</v>
      </c>
      <c r="K2" t="s">
        <v>469</v>
      </c>
      <c r="L2" t="s">
        <v>470</v>
      </c>
      <c r="M2" t="s">
        <v>471</v>
      </c>
      <c r="N2" t="s">
        <v>472</v>
      </c>
      <c r="O2" t="s">
        <v>473</v>
      </c>
      <c r="P2" t="s">
        <v>474</v>
      </c>
      <c r="Q2" t="s">
        <v>475</v>
      </c>
      <c r="S2" t="s">
        <v>476</v>
      </c>
      <c r="T2" t="s">
        <v>477</v>
      </c>
      <c r="U2" t="s">
        <v>478</v>
      </c>
      <c r="W2" t="s">
        <v>459</v>
      </c>
      <c r="X2" t="s">
        <v>460</v>
      </c>
      <c r="Y2" t="s">
        <v>461</v>
      </c>
      <c r="Z2" t="s">
        <v>462</v>
      </c>
      <c r="AA2" t="s">
        <v>463</v>
      </c>
      <c r="AB2" t="s">
        <v>464</v>
      </c>
      <c r="AC2" t="s">
        <v>465</v>
      </c>
      <c r="AD2" t="s">
        <v>466</v>
      </c>
      <c r="AE2" t="s">
        <v>467</v>
      </c>
      <c r="AF2" t="s">
        <v>468</v>
      </c>
      <c r="AG2" t="s">
        <v>469</v>
      </c>
      <c r="AH2" t="s">
        <v>470</v>
      </c>
      <c r="AI2" t="s">
        <v>471</v>
      </c>
      <c r="AJ2" t="s">
        <v>472</v>
      </c>
      <c r="AK2" t="s">
        <v>473</v>
      </c>
      <c r="AL2" t="s">
        <v>474</v>
      </c>
      <c r="AM2" t="s">
        <v>475</v>
      </c>
      <c r="AO2" t="s">
        <v>476</v>
      </c>
      <c r="AP2" t="s">
        <v>477</v>
      </c>
      <c r="AQ2" t="s">
        <v>478</v>
      </c>
    </row>
    <row r="3" spans="1:43" x14ac:dyDescent="0.3">
      <c r="A3">
        <v>6</v>
      </c>
      <c r="B3">
        <v>49</v>
      </c>
      <c r="C3" t="s">
        <v>223</v>
      </c>
      <c r="D3" t="s">
        <v>480</v>
      </c>
      <c r="E3" t="s">
        <v>707</v>
      </c>
      <c r="G3">
        <v>51.55</v>
      </c>
      <c r="H3">
        <v>52.27</v>
      </c>
      <c r="I3" s="5">
        <v>1.2016203703703703E-3</v>
      </c>
      <c r="K3">
        <v>115872</v>
      </c>
      <c r="L3" s="2">
        <f>_xlfn.LET(_xlpm.x,Table127163137496173109115[[#This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5.9664351851851849E-4</v>
      </c>
      <c r="M3" s="3">
        <f>IF(Table127163137496173109115[[#This Row],[run 1 times]]="",999.99,IF(Table127163137496173109115[[#This Row],[run 1 times]]=$S$3,0,MAX(0,ROUND(((Table127163137496173109115[[#This Row],[run 1 times]]-$S$3)/$S$3)*$T$6,2))))</f>
        <v>31.52</v>
      </c>
      <c r="N3" s="2">
        <f>_xlfn.LET(_xlpm.x,Table127163137496173109115[[#This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6.0497685185185188E-4</v>
      </c>
      <c r="O3" s="3">
        <f>IF(Table127163137496173109115[[#This Row],[run2 times]]="",999.99,IF(Table127163137496173109115[[#This Row],[run2 times]]=$T$3,0,MAX(0,ROUND(((Table127163137496173109115[[#This Row],[run2 times]]-$T$3)/$T$3)*$T$6,2))))</f>
        <v>18.3</v>
      </c>
      <c r="P3" s="2">
        <f>IF(OR(Table127163137496173109115[[#This Row],[run 1 times]]="",Table127163137496173109115[[#This Row],[run2 times]]=""),"",Table127163137496173109115[[#This Row],[run 1 times]]+Table127163137496173109115[[#This Row],[run2 times]])</f>
        <v>1.2016203703703703E-3</v>
      </c>
      <c r="Q3" s="3">
        <f>IF(Table127163137496173109115[[#This Row],[total time]]="",999.99,IF(Table127163137496173109115[[#This Row],[total time]]=$U$3,0,MAX(0,ROUND(((Table127163137496173109115[[#This Row],[total time]]-$U$3)/$U$3)*$T$6,2))))</f>
        <v>22.78</v>
      </c>
      <c r="S3" s="1">
        <f>MIN(Table127163137496173109115[run 1 times])</f>
        <v>5.7858796296296304E-4</v>
      </c>
      <c r="T3" s="1">
        <f>MIN(Table127163137496173109115[run2 times])</f>
        <v>5.9421296296296305E-4</v>
      </c>
      <c r="U3" s="1">
        <f>MIN(Table127163137496173109115[total time])</f>
        <v>1.1751157407407409E-3</v>
      </c>
      <c r="W3">
        <v>11</v>
      </c>
      <c r="X3">
        <v>97</v>
      </c>
      <c r="Y3" t="s">
        <v>24</v>
      </c>
      <c r="Z3" t="s">
        <v>547</v>
      </c>
      <c r="AA3" t="s">
        <v>762</v>
      </c>
      <c r="AB3">
        <v>2011</v>
      </c>
      <c r="AC3">
        <v>45.39</v>
      </c>
      <c r="AD3">
        <v>48.08</v>
      </c>
      <c r="AE3" s="5">
        <v>1.0818287037037038E-3</v>
      </c>
      <c r="AG3">
        <v>89867</v>
      </c>
      <c r="AH3" s="2">
        <f>_xlfn.LET(_xlpm.x,Table122110193440526476112118[[#This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5.2534722222222219E-4</v>
      </c>
      <c r="AI3" s="3">
        <f>IF(Table122110193440526476112118[[#This Row],[run 1 times]]="",999.99,IF(Table122110193440526476112118[[#This Row],[run 1 times]]=$AO$3,0,MAX(0,ROUND(((Table122110193440526476112118[[#This Row],[run 1 times]]-$AO$3)/$AO$3)*$AP$6,2))))</f>
        <v>33.090000000000003</v>
      </c>
      <c r="AJ3" s="2">
        <f>_xlfn.LET(_xlpm.x,Table122110193440526476112118[[#This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5.5648148148148148E-4</v>
      </c>
      <c r="AK3" s="3">
        <f>IF(Table122110193440526476112118[[#This Row],[run2 times]]="",999.99,IF(Table122110193440526476112118[[#This Row],[run2 times]]=$AP$3,0,MAX(0,ROUND(((Table122110193440526476112118[[#This Row],[run2 times]]-$AP$3)/$AP$3)*$AP$6,2))))</f>
        <v>16.87</v>
      </c>
      <c r="AL3" s="2">
        <f>IF(OR(Table122110193440526476112118[[#This Row],[run 1 times]]="",Table122110193440526476112118[[#This Row],[run2 times]]=""),"",Table122110193440526476112118[[#This Row],[run 1 times]]+Table122110193440526476112118[[#This Row],[run2 times]])</f>
        <v>1.0818287037037038E-3</v>
      </c>
      <c r="AM3" s="3">
        <f>IF(Table122110193440526476112118[[#This Row],[total time]]="",999.99,IF(Table122110193440526476112118[[#This Row],[total time]]=$AQ$3,0,MAX(0,ROUND(((Table122110193440526476112118[[#This Row],[total time]]-$AQ$3)/$AQ$3)*$AP$6,2))))</f>
        <v>24.69</v>
      </c>
      <c r="AO3" s="1">
        <f>MIN(Table122110193440526476112118[run 1 times])</f>
        <v>5.0868055555555562E-4</v>
      </c>
      <c r="AP3" s="1">
        <f>MIN(Table122110193440526476112118[run2 times])</f>
        <v>5.473379629629629E-4</v>
      </c>
      <c r="AQ3" s="1">
        <f>MIN(Table122110193440526476112118[total time])</f>
        <v>1.0560185185185186E-3</v>
      </c>
    </row>
    <row r="4" spans="1:43" x14ac:dyDescent="0.3">
      <c r="A4">
        <v>7</v>
      </c>
      <c r="B4">
        <v>50</v>
      </c>
      <c r="C4" t="s">
        <v>257</v>
      </c>
      <c r="D4" t="s">
        <v>480</v>
      </c>
      <c r="E4" t="s">
        <v>878</v>
      </c>
      <c r="G4">
        <v>54.3</v>
      </c>
      <c r="H4">
        <v>53.06</v>
      </c>
      <c r="I4" s="5">
        <v>1.2425925925925927E-3</v>
      </c>
      <c r="K4">
        <v>120661</v>
      </c>
      <c r="L4" s="2">
        <f>_xlfn.LET(_xlpm.x,Table127163137496173109115[[#This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6.2847222222222221E-4</v>
      </c>
      <c r="M4" s="3">
        <f>IF(Table127163137496173109115[[#This Row],[run 1 times]]="",999.99,IF(Table127163137496173109115[[#This Row],[run 1 times]]=$S$3,0,MAX(0,ROUND(((Table127163137496173109115[[#This Row],[run 1 times]]-$S$3)/$S$3)*$T$6,2))))</f>
        <v>87.08</v>
      </c>
      <c r="N4" s="2">
        <f>_xlfn.LET(_xlpm.x,Table127163137496173109115[[#This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6.1412037037037045E-4</v>
      </c>
      <c r="O4" s="3">
        <f>IF(Table127163137496173109115[[#This Row],[run2 times]]="",999.99,IF(Table127163137496173109115[[#This Row],[run2 times]]=$T$3,0,MAX(0,ROUND(((Table127163137496173109115[[#This Row],[run2 times]]-$T$3)/$T$3)*$T$6,2))))</f>
        <v>33.840000000000003</v>
      </c>
      <c r="P4" s="2">
        <f>IF(OR(Table127163137496173109115[[#This Row],[run 1 times]]="",Table127163137496173109115[[#This Row],[run2 times]]=""),"",Table127163137496173109115[[#This Row],[run 1 times]]+Table127163137496173109115[[#This Row],[run2 times]])</f>
        <v>1.2425925925925927E-3</v>
      </c>
      <c r="Q4" s="3">
        <f>IF(Table127163137496173109115[[#This Row],[total time]]="",999.99,IF(Table127163137496173109115[[#This Row],[total time]]=$U$3,0,MAX(0,ROUND(((Table127163137496173109115[[#This Row],[total time]]-$U$3)/$U$3)*$T$6,2))))</f>
        <v>58</v>
      </c>
      <c r="W4">
        <v>9</v>
      </c>
      <c r="X4">
        <v>95</v>
      </c>
      <c r="Y4" t="s">
        <v>24</v>
      </c>
      <c r="Z4" t="s">
        <v>547</v>
      </c>
      <c r="AA4" t="s">
        <v>742</v>
      </c>
      <c r="AB4">
        <v>2010</v>
      </c>
      <c r="AC4">
        <v>44.63</v>
      </c>
      <c r="AD4">
        <v>48.86</v>
      </c>
      <c r="AE4" s="5">
        <v>1.0820601851851853E-3</v>
      </c>
      <c r="AG4">
        <v>89651</v>
      </c>
      <c r="AH4" s="2">
        <f>_xlfn.LET(_xlpm.x,Table122110193440526476112118[[#This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5.1655092592592594E-4</v>
      </c>
      <c r="AI4" s="3">
        <f>IF(Table122110193440526476112118[[#This Row],[run 1 times]]="",999.99,IF(Table122110193440526476112118[[#This Row],[run 1 times]]=$AO$3,0,MAX(0,ROUND(((Table122110193440526476112118[[#This Row],[run 1 times]]-$AO$3)/$AO$3)*$AP$6,2))))</f>
        <v>15.63</v>
      </c>
      <c r="AJ4" s="2">
        <f>_xlfn.LET(_xlpm.x,Table122110193440526476112118[[#This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5.655092592592592E-4</v>
      </c>
      <c r="AK4" s="3">
        <f>IF(Table122110193440526476112118[[#This Row],[run2 times]]="",999.99,IF(Table122110193440526476112118[[#This Row],[run2 times]]=$AP$3,0,MAX(0,ROUND(((Table122110193440526476112118[[#This Row],[run2 times]]-$AP$3)/$AP$3)*$AP$6,2))))</f>
        <v>33.53</v>
      </c>
      <c r="AL4" s="2">
        <f>IF(OR(Table122110193440526476112118[[#This Row],[run 1 times]]="",Table122110193440526476112118[[#This Row],[run2 times]]=""),"",Table122110193440526476112118[[#This Row],[run 1 times]]+Table122110193440526476112118[[#This Row],[run2 times]])</f>
        <v>1.082060185185185E-3</v>
      </c>
      <c r="AM4" s="3">
        <f>IF(Table122110193440526476112118[[#This Row],[total time]]="",999.99,IF(Table122110193440526476112118[[#This Row],[total time]]=$AQ$3,0,MAX(0,ROUND(((Table122110193440526476112118[[#This Row],[total time]]-$AQ$3)/$AQ$3)*$AP$6,2))))</f>
        <v>24.91</v>
      </c>
    </row>
    <row r="5" spans="1:43" x14ac:dyDescent="0.3">
      <c r="A5">
        <v>19</v>
      </c>
      <c r="B5">
        <v>41</v>
      </c>
      <c r="C5" t="s">
        <v>257</v>
      </c>
      <c r="D5" t="s">
        <v>480</v>
      </c>
      <c r="E5" t="s">
        <v>710</v>
      </c>
      <c r="G5">
        <v>56.93</v>
      </c>
      <c r="H5">
        <v>55.8</v>
      </c>
      <c r="I5" s="5">
        <v>1.3047453703703702E-3</v>
      </c>
      <c r="K5">
        <v>124078</v>
      </c>
      <c r="L5" s="2">
        <f>_xlfn.LET(_xlpm.x,Table127163137496173109115[[#This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6.5891203703703706E-4</v>
      </c>
      <c r="M5" s="3">
        <f>IF(Table127163137496173109115[[#This Row],[run 1 times]]="",999.99,IF(Table127163137496173109115[[#This Row],[run 1 times]]=$S$3,0,MAX(0,ROUND(((Table127163137496173109115[[#This Row],[run 1 times]]-$S$3)/$S$3)*$T$6,2))))</f>
        <v>140.22</v>
      </c>
      <c r="N5" s="2">
        <f>_xlfn.LET(_xlpm.x,Table127163137496173109115[[#This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6.4583333333333333E-4</v>
      </c>
      <c r="O5" s="3">
        <f>IF(Table127163137496173109115[[#This Row],[run2 times]]="",999.99,IF(Table127163137496173109115[[#This Row],[run2 times]]=$T$3,0,MAX(0,ROUND(((Table127163137496173109115[[#This Row],[run2 times]]-$T$3)/$T$3)*$T$6,2))))</f>
        <v>87.74</v>
      </c>
      <c r="P5" s="2">
        <f>IF(OR(Table127163137496173109115[[#This Row],[run 1 times]]="",Table127163137496173109115[[#This Row],[run2 times]]=""),"",Table127163137496173109115[[#This Row],[run 1 times]]+Table127163137496173109115[[#This Row],[run2 times]])</f>
        <v>1.3047453703703704E-3</v>
      </c>
      <c r="Q5" s="3">
        <f>IF(Table127163137496173109115[[#This Row],[total time]]="",999.99,IF(Table127163137496173109115[[#This Row],[total time]]=$U$3,0,MAX(0,ROUND(((Table127163137496173109115[[#This Row],[total time]]-$U$3)/$U$3)*$T$6,2))))</f>
        <v>111.42</v>
      </c>
      <c r="S5" t="s">
        <v>484</v>
      </c>
      <c r="T5" t="s">
        <v>485</v>
      </c>
      <c r="U5" t="s">
        <v>486</v>
      </c>
      <c r="W5">
        <v>3</v>
      </c>
      <c r="X5">
        <v>89</v>
      </c>
      <c r="Y5" t="s">
        <v>257</v>
      </c>
      <c r="Z5" t="s">
        <v>547</v>
      </c>
      <c r="AA5" t="s">
        <v>744</v>
      </c>
      <c r="AB5">
        <v>2010</v>
      </c>
      <c r="AC5">
        <v>46.49</v>
      </c>
      <c r="AD5">
        <v>49.67</v>
      </c>
      <c r="AE5" s="5">
        <v>1.112962962962963E-3</v>
      </c>
      <c r="AG5">
        <v>102725</v>
      </c>
      <c r="AH5" s="2">
        <f>_xlfn.LET(_xlpm.x,Table122110193440526476112118[[#This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5.380787037037037E-4</v>
      </c>
      <c r="AI5" s="3">
        <f>IF(Table122110193440526476112118[[#This Row],[run 1 times]]="",999.99,IF(Table122110193440526476112118[[#This Row],[run 1 times]]=$AO$3,0,MAX(0,ROUND(((Table122110193440526476112118[[#This Row],[run 1 times]]-$AO$3)/$AO$3)*$AP$6,2))))</f>
        <v>58.37</v>
      </c>
      <c r="AJ5" s="2">
        <f>_xlfn.LET(_xlpm.x,Table122110193440526476112118[[#This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5.7488425925925925E-4</v>
      </c>
      <c r="AK5" s="3">
        <f>IF(Table122110193440526476112118[[#This Row],[run2 times]]="",999.99,IF(Table122110193440526476112118[[#This Row],[run2 times]]=$AP$3,0,MAX(0,ROUND(((Table122110193440526476112118[[#This Row],[run2 times]]-$AP$3)/$AP$3)*$AP$6,2))))</f>
        <v>50.83</v>
      </c>
      <c r="AL5" s="2">
        <f>IF(OR(Table122110193440526476112118[[#This Row],[run 1 times]]="",Table122110193440526476112118[[#This Row],[run2 times]]=""),"",Table122110193440526476112118[[#This Row],[run 1 times]]+Table122110193440526476112118[[#This Row],[run2 times]])</f>
        <v>1.112962962962963E-3</v>
      </c>
      <c r="AM5" s="3">
        <f>IF(Table122110193440526476112118[[#This Row],[total time]]="",999.99,IF(Table122110193440526476112118[[#This Row],[total time]]=$AQ$3,0,MAX(0,ROUND(((Table122110193440526476112118[[#This Row],[total time]]-$AQ$3)/$AQ$3)*$AP$6,2))))</f>
        <v>54.46</v>
      </c>
      <c r="AO5" t="s">
        <v>484</v>
      </c>
      <c r="AP5" t="s">
        <v>485</v>
      </c>
      <c r="AQ5" t="s">
        <v>486</v>
      </c>
    </row>
    <row r="6" spans="1:43" x14ac:dyDescent="0.3">
      <c r="A6">
        <v>13</v>
      </c>
      <c r="B6">
        <v>35</v>
      </c>
      <c r="C6" t="s">
        <v>223</v>
      </c>
      <c r="D6" t="s">
        <v>480</v>
      </c>
      <c r="E6" t="s">
        <v>676</v>
      </c>
      <c r="G6">
        <v>57.06</v>
      </c>
      <c r="H6">
        <v>55.99</v>
      </c>
      <c r="I6" s="5">
        <v>1.3084490740740741E-3</v>
      </c>
      <c r="K6">
        <v>107257</v>
      </c>
      <c r="L6" s="2">
        <f>_xlfn.LET(_xlpm.x,Table127163137496173109115[[#This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6.6041666666666668E-4</v>
      </c>
      <c r="M6" s="3">
        <f>IF(Table127163137496173109115[[#This Row],[run 1 times]]="",999.99,IF(Table127163137496173109115[[#This Row],[run 1 times]]=$S$3,0,MAX(0,ROUND(((Table127163137496173109115[[#This Row],[run 1 times]]-$S$3)/$S$3)*$T$6,2))))</f>
        <v>142.84</v>
      </c>
      <c r="N6" s="2">
        <f>_xlfn.LET(_xlpm.x,Table127163137496173109115[[#This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6.4803240740740739E-4</v>
      </c>
      <c r="O6" s="3">
        <f>IF(Table127163137496173109115[[#This Row],[run2 times]]="",999.99,IF(Table127163137496173109115[[#This Row],[run2 times]]=$T$3,0,MAX(0,ROUND(((Table127163137496173109115[[#This Row],[run2 times]]-$T$3)/$T$3)*$T$6,2))))</f>
        <v>91.48</v>
      </c>
      <c r="P6" s="2">
        <f>IF(OR(Table127163137496173109115[[#This Row],[run 1 times]]="",Table127163137496173109115[[#This Row],[run2 times]]=""),"",Table127163137496173109115[[#This Row],[run 1 times]]+Table127163137496173109115[[#This Row],[run2 times]])</f>
        <v>1.3084490740740741E-3</v>
      </c>
      <c r="Q6" s="3">
        <f>IF(Table127163137496173109115[[#This Row],[total time]]="",999.99,IF(Table127163137496173109115[[#This Row],[total time]]=$U$3,0,MAX(0,ROUND(((Table127163137496173109115[[#This Row],[total time]]-$U$3)/$U$3)*$T$6,2))))</f>
        <v>114.6</v>
      </c>
      <c r="S6">
        <v>730</v>
      </c>
      <c r="T6">
        <v>1010</v>
      </c>
      <c r="U6">
        <v>1190</v>
      </c>
      <c r="W6">
        <v>19</v>
      </c>
      <c r="X6">
        <v>81</v>
      </c>
      <c r="Y6" t="s">
        <v>257</v>
      </c>
      <c r="Z6" t="s">
        <v>547</v>
      </c>
      <c r="AA6" t="s">
        <v>766</v>
      </c>
      <c r="AB6">
        <v>2011</v>
      </c>
      <c r="AC6">
        <v>46.75</v>
      </c>
      <c r="AD6">
        <v>49.6</v>
      </c>
      <c r="AE6" s="5">
        <v>1.1151620370370369E-3</v>
      </c>
      <c r="AG6">
        <v>102722</v>
      </c>
      <c r="AH6" s="2">
        <f>_xlfn.LET(_xlpm.x,Table122110193440526476112118[[#This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5.4108796296296294E-4</v>
      </c>
      <c r="AI6" s="3">
        <f>IF(Table122110193440526476112118[[#This Row],[run 1 times]]="",999.99,IF(Table122110193440526476112118[[#This Row],[run 1 times]]=$AO$3,0,MAX(0,ROUND(((Table122110193440526476112118[[#This Row],[run 1 times]]-$AO$3)/$AO$3)*$AP$6,2))))</f>
        <v>64.349999999999994</v>
      </c>
      <c r="AJ6" s="2">
        <f>_xlfn.LET(_xlpm.x,Table122110193440526476112118[[#This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5.7407407407407407E-4</v>
      </c>
      <c r="AK6" s="3">
        <f>IF(Table122110193440526476112118[[#This Row],[run2 times]]="",999.99,IF(Table122110193440526476112118[[#This Row],[run2 times]]=$AP$3,0,MAX(0,ROUND(((Table122110193440526476112118[[#This Row],[run2 times]]-$AP$3)/$AP$3)*$AP$6,2))))</f>
        <v>49.34</v>
      </c>
      <c r="AL6" s="2">
        <f>IF(OR(Table122110193440526476112118[[#This Row],[run 1 times]]="",Table122110193440526476112118[[#This Row],[run2 times]]=""),"",Table122110193440526476112118[[#This Row],[run 1 times]]+Table122110193440526476112118[[#This Row],[run2 times]])</f>
        <v>1.1151620370370369E-3</v>
      </c>
      <c r="AM6" s="3">
        <f>IF(Table122110193440526476112118[[#This Row],[total time]]="",999.99,IF(Table122110193440526476112118[[#This Row],[total time]]=$AQ$3,0,MAX(0,ROUND(((Table122110193440526476112118[[#This Row],[total time]]-$AQ$3)/$AQ$3)*$AP$6,2))))</f>
        <v>56.57</v>
      </c>
      <c r="AO6">
        <v>730</v>
      </c>
      <c r="AP6">
        <v>1010</v>
      </c>
      <c r="AQ6">
        <v>1190</v>
      </c>
    </row>
    <row r="7" spans="1:43" x14ac:dyDescent="0.3">
      <c r="A7">
        <v>1</v>
      </c>
      <c r="B7">
        <v>44</v>
      </c>
      <c r="C7" t="s">
        <v>373</v>
      </c>
      <c r="D7" t="s">
        <v>480</v>
      </c>
      <c r="E7" t="s">
        <v>696</v>
      </c>
      <c r="F7">
        <v>2014</v>
      </c>
      <c r="G7">
        <v>56.4</v>
      </c>
      <c r="H7">
        <v>57.86</v>
      </c>
      <c r="I7" s="5">
        <v>1.3224537037037035E-3</v>
      </c>
      <c r="K7">
        <v>107242</v>
      </c>
      <c r="L7" s="2">
        <f>_xlfn.LET(_xlpm.x,Table127163137496173109115[[#This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6.5277777777777773E-4</v>
      </c>
      <c r="M7" s="3">
        <f>IF(Table127163137496173109115[[#This Row],[run 1 times]]="",999.99,IF(Table127163137496173109115[[#This Row],[run 1 times]]=$S$3,0,MAX(0,ROUND(((Table127163137496173109115[[#This Row],[run 1 times]]-$S$3)/$S$3)*$T$6,2))))</f>
        <v>129.51</v>
      </c>
      <c r="N7" s="2">
        <f>_xlfn.LET(_xlpm.x,Table127163137496173109115[[#This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6.6967592592592589E-4</v>
      </c>
      <c r="O7" s="3">
        <f>IF(Table127163137496173109115[[#This Row],[run2 times]]="",999.99,IF(Table127163137496173109115[[#This Row],[run2 times]]=$T$3,0,MAX(0,ROUND(((Table127163137496173109115[[#This Row],[run2 times]]-$T$3)/$T$3)*$T$6,2))))</f>
        <v>128.27000000000001</v>
      </c>
      <c r="P7" s="2">
        <f>IF(OR(Table127163137496173109115[[#This Row],[run 1 times]]="",Table127163137496173109115[[#This Row],[run2 times]]=""),"",Table127163137496173109115[[#This Row],[run 1 times]]+Table127163137496173109115[[#This Row],[run2 times]])</f>
        <v>1.3224537037037037E-3</v>
      </c>
      <c r="Q7" s="3">
        <f>IF(Table127163137496173109115[[#This Row],[total time]]="",999.99,IF(Table127163137496173109115[[#This Row],[total time]]=$U$3,0,MAX(0,ROUND(((Table127163137496173109115[[#This Row],[total time]]-$U$3)/$U$3)*$T$6,2))))</f>
        <v>126.64</v>
      </c>
      <c r="W7">
        <v>18</v>
      </c>
      <c r="X7">
        <v>80</v>
      </c>
      <c r="Y7" t="s">
        <v>24</v>
      </c>
      <c r="Z7" t="s">
        <v>547</v>
      </c>
      <c r="AA7" t="s">
        <v>759</v>
      </c>
      <c r="AB7">
        <v>2011</v>
      </c>
      <c r="AC7">
        <v>46.68</v>
      </c>
      <c r="AD7">
        <v>49.86</v>
      </c>
      <c r="AE7" s="5">
        <v>1.1173611111111111E-3</v>
      </c>
      <c r="AG7">
        <v>88784</v>
      </c>
      <c r="AH7" s="2">
        <f>_xlfn.LET(_xlpm.x,Table122110193440526476112118[[#This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5.4027777777777776E-4</v>
      </c>
      <c r="AI7" s="3">
        <f>IF(Table122110193440526476112118[[#This Row],[run 1 times]]="",999.99,IF(Table122110193440526476112118[[#This Row],[run 1 times]]=$AO$3,0,MAX(0,ROUND(((Table122110193440526476112118[[#This Row],[run 1 times]]-$AO$3)/$AO$3)*$AP$6,2))))</f>
        <v>62.74</v>
      </c>
      <c r="AJ7" s="2">
        <f>_xlfn.LET(_xlpm.x,Table122110193440526476112118[[#This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5.7708333333333331E-4</v>
      </c>
      <c r="AK7" s="3">
        <f>IF(Table122110193440526476112118[[#This Row],[run2 times]]="",999.99,IF(Table122110193440526476112118[[#This Row],[run2 times]]=$AP$3,0,MAX(0,ROUND(((Table122110193440526476112118[[#This Row],[run2 times]]-$AP$3)/$AP$3)*$AP$6,2))))</f>
        <v>54.89</v>
      </c>
      <c r="AL7" s="2">
        <f>IF(OR(Table122110193440526476112118[[#This Row],[run 1 times]]="",Table122110193440526476112118[[#This Row],[run2 times]]=""),"",Table122110193440526476112118[[#This Row],[run 1 times]]+Table122110193440526476112118[[#This Row],[run2 times]])</f>
        <v>1.1173611111111111E-3</v>
      </c>
      <c r="AM7" s="3">
        <f>IF(Table122110193440526476112118[[#This Row],[total time]]="",999.99,IF(Table122110193440526476112118[[#This Row],[total time]]=$AQ$3,0,MAX(0,ROUND(((Table122110193440526476112118[[#This Row],[total time]]-$AQ$3)/$AQ$3)*$AP$6,2))))</f>
        <v>58.67</v>
      </c>
    </row>
    <row r="8" spans="1:43" x14ac:dyDescent="0.3">
      <c r="A8">
        <v>5</v>
      </c>
      <c r="B8">
        <v>48</v>
      </c>
      <c r="C8" t="s">
        <v>373</v>
      </c>
      <c r="D8" t="s">
        <v>480</v>
      </c>
      <c r="E8" t="s">
        <v>694</v>
      </c>
      <c r="F8">
        <v>2014</v>
      </c>
      <c r="G8">
        <v>57.45</v>
      </c>
      <c r="H8">
        <v>58.44</v>
      </c>
      <c r="I8" s="5">
        <v>1.3413194444444445E-3</v>
      </c>
      <c r="K8">
        <v>112394</v>
      </c>
      <c r="L8" s="2">
        <f>_xlfn.LET(_xlpm.x,Table127163137496173109115[[#This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6.6493055555555554E-4</v>
      </c>
      <c r="M8" s="3">
        <f>IF(Table127163137496173109115[[#This Row],[run 1 times]]="",999.99,IF(Table127163137496173109115[[#This Row],[run 1 times]]=$S$3,0,MAX(0,ROUND(((Table127163137496173109115[[#This Row],[run 1 times]]-$S$3)/$S$3)*$T$6,2))))</f>
        <v>150.72</v>
      </c>
      <c r="N8" s="2">
        <f>_xlfn.LET(_xlpm.x,Table127163137496173109115[[#This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6.7638888888888892E-4</v>
      </c>
      <c r="O8" s="3">
        <f>IF(Table127163137496173109115[[#This Row],[run2 times]]="",999.99,IF(Table127163137496173109115[[#This Row],[run2 times]]=$T$3,0,MAX(0,ROUND(((Table127163137496173109115[[#This Row],[run2 times]]-$T$3)/$T$3)*$T$6,2))))</f>
        <v>139.68</v>
      </c>
      <c r="P8" s="2">
        <f>IF(OR(Table127163137496173109115[[#This Row],[run 1 times]]="",Table127163137496173109115[[#This Row],[run2 times]]=""),"",Table127163137496173109115[[#This Row],[run 1 times]]+Table127163137496173109115[[#This Row],[run2 times]])</f>
        <v>1.3413194444444445E-3</v>
      </c>
      <c r="Q8" s="3">
        <f>IF(Table127163137496173109115[[#This Row],[total time]]="",999.99,IF(Table127163137496173109115[[#This Row],[total time]]=$U$3,0,MAX(0,ROUND(((Table127163137496173109115[[#This Row],[total time]]-$U$3)/$U$3)*$T$6,2))))</f>
        <v>142.85</v>
      </c>
      <c r="W8">
        <v>13</v>
      </c>
      <c r="X8">
        <v>75</v>
      </c>
      <c r="Y8" t="s">
        <v>257</v>
      </c>
      <c r="Z8" t="s">
        <v>547</v>
      </c>
      <c r="AA8" t="s">
        <v>767</v>
      </c>
      <c r="AB8">
        <v>2010</v>
      </c>
      <c r="AC8">
        <v>46.89</v>
      </c>
      <c r="AD8">
        <v>50.18</v>
      </c>
      <c r="AE8" s="5">
        <v>1.1234953703703702E-3</v>
      </c>
      <c r="AG8">
        <v>106380</v>
      </c>
      <c r="AH8" s="2">
        <f>_xlfn.LET(_xlpm.x,Table122110193440526476112118[[#This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5.427083333333333E-4</v>
      </c>
      <c r="AI8" s="3">
        <f>IF(Table122110193440526476112118[[#This Row],[run 1 times]]="",999.99,IF(Table122110193440526476112118[[#This Row],[run 1 times]]=$AO$3,0,MAX(0,ROUND(((Table122110193440526476112118[[#This Row],[run 1 times]]-$AO$3)/$AO$3)*$AP$6,2))))</f>
        <v>67.56</v>
      </c>
      <c r="AJ8" s="2">
        <f>_xlfn.LET(_xlpm.x,Table122110193440526476112118[[#This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5.8078703703703699E-4</v>
      </c>
      <c r="AK8" s="3">
        <f>IF(Table122110193440526476112118[[#This Row],[run2 times]]="",999.99,IF(Table122110193440526476112118[[#This Row],[run2 times]]=$AP$3,0,MAX(0,ROUND(((Table122110193440526476112118[[#This Row],[run2 times]]-$AP$3)/$AP$3)*$AP$6,2))))</f>
        <v>61.72</v>
      </c>
      <c r="AL8" s="2">
        <f>IF(OR(Table122110193440526476112118[[#This Row],[run 1 times]]="",Table122110193440526476112118[[#This Row],[run2 times]]=""),"",Table122110193440526476112118[[#This Row],[run 1 times]]+Table122110193440526476112118[[#This Row],[run2 times]])</f>
        <v>1.1234953703703702E-3</v>
      </c>
      <c r="AM8" s="3">
        <f>IF(Table122110193440526476112118[[#This Row],[total time]]="",999.99,IF(Table122110193440526476112118[[#This Row],[total time]]=$AQ$3,0,MAX(0,ROUND(((Table122110193440526476112118[[#This Row],[total time]]-$AQ$3)/$AQ$3)*$AP$6,2))))</f>
        <v>64.540000000000006</v>
      </c>
    </row>
    <row r="9" spans="1:43" x14ac:dyDescent="0.3">
      <c r="A9">
        <v>2</v>
      </c>
      <c r="B9">
        <v>45</v>
      </c>
      <c r="C9" t="s">
        <v>257</v>
      </c>
      <c r="D9" t="s">
        <v>480</v>
      </c>
      <c r="E9" t="s">
        <v>887</v>
      </c>
      <c r="G9">
        <v>59.61</v>
      </c>
      <c r="H9">
        <v>58.49</v>
      </c>
      <c r="I9" s="5">
        <v>1.3668981481481481E-3</v>
      </c>
      <c r="K9">
        <v>117770</v>
      </c>
      <c r="L9" s="2">
        <f>_xlfn.LET(_xlpm.x,Table127163137496173109115[[#This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6.899305555555555E-4</v>
      </c>
      <c r="M9" s="3">
        <f>IF(Table127163137496173109115[[#This Row],[run 1 times]]="",999.99,IF(Table127163137496173109115[[#This Row],[run 1 times]]=$S$3,0,MAX(0,ROUND(((Table127163137496173109115[[#This Row],[run 1 times]]-$S$3)/$S$3)*$T$6,2))))</f>
        <v>194.36</v>
      </c>
      <c r="N9" s="2">
        <f>_xlfn.LET(_xlpm.x,Table127163137496173109115[[#This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6.7696759259259262E-4</v>
      </c>
      <c r="O9" s="3">
        <f>IF(Table127163137496173109115[[#This Row],[run2 times]]="",999.99,IF(Table127163137496173109115[[#This Row],[run2 times]]=$T$3,0,MAX(0,ROUND(((Table127163137496173109115[[#This Row],[run2 times]]-$T$3)/$T$3)*$T$6,2))))</f>
        <v>140.66</v>
      </c>
      <c r="P9" s="2">
        <f>IF(OR(Table127163137496173109115[[#This Row],[run 1 times]]="",Table127163137496173109115[[#This Row],[run2 times]]=""),"",Table127163137496173109115[[#This Row],[run 1 times]]+Table127163137496173109115[[#This Row],[run2 times]])</f>
        <v>1.3668981481481481E-3</v>
      </c>
      <c r="Q9" s="3">
        <f>IF(Table127163137496173109115[[#This Row],[total time]]="",999.99,IF(Table127163137496173109115[[#This Row],[total time]]=$U$3,0,MAX(0,ROUND(((Table127163137496173109115[[#This Row],[total time]]-$U$3)/$U$3)*$T$6,2))))</f>
        <v>164.84</v>
      </c>
      <c r="W9">
        <v>14</v>
      </c>
      <c r="X9">
        <v>76</v>
      </c>
      <c r="Y9" t="s">
        <v>373</v>
      </c>
      <c r="Z9" t="s">
        <v>547</v>
      </c>
      <c r="AA9" t="s">
        <v>753</v>
      </c>
      <c r="AB9">
        <v>2011</v>
      </c>
      <c r="AC9">
        <v>46.91</v>
      </c>
      <c r="AD9">
        <v>51.67</v>
      </c>
      <c r="AE9" s="5">
        <v>1.1409722222222223E-3</v>
      </c>
      <c r="AG9">
        <v>112387</v>
      </c>
      <c r="AH9" s="2">
        <f>_xlfn.LET(_xlpm.x,Table122110193440526476112118[[#This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5.4293981481481478E-4</v>
      </c>
      <c r="AI9" s="3">
        <f>IF(Table122110193440526476112118[[#This Row],[run 1 times]]="",999.99,IF(Table122110193440526476112118[[#This Row],[run 1 times]]=$AO$3,0,MAX(0,ROUND(((Table122110193440526476112118[[#This Row],[run 1 times]]-$AO$3)/$AO$3)*$AP$6,2))))</f>
        <v>68.02</v>
      </c>
      <c r="AJ9" s="2">
        <f>_xlfn.LET(_xlpm.x,Table122110193440526476112118[[#This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5.9803240740740748E-4</v>
      </c>
      <c r="AK9" s="3">
        <f>IF(Table122110193440526476112118[[#This Row],[run2 times]]="",999.99,IF(Table122110193440526476112118[[#This Row],[run2 times]]=$AP$3,0,MAX(0,ROUND(((Table122110193440526476112118[[#This Row],[run2 times]]-$AP$3)/$AP$3)*$AP$6,2))))</f>
        <v>93.55</v>
      </c>
      <c r="AL9" s="2">
        <f>IF(OR(Table122110193440526476112118[[#This Row],[run 1 times]]="",Table122110193440526476112118[[#This Row],[run2 times]]=""),"",Table122110193440526476112118[[#This Row],[run 1 times]]+Table122110193440526476112118[[#This Row],[run2 times]])</f>
        <v>1.1409722222222223E-3</v>
      </c>
      <c r="AM9" s="3">
        <f>IF(Table122110193440526476112118[[#This Row],[total time]]="",999.99,IF(Table122110193440526476112118[[#This Row],[total time]]=$AQ$3,0,MAX(0,ROUND(((Table122110193440526476112118[[#This Row],[total time]]-$AQ$3)/$AQ$3)*$AP$6,2))))</f>
        <v>81.25</v>
      </c>
    </row>
    <row r="10" spans="1:43" x14ac:dyDescent="0.3">
      <c r="A10">
        <v>14</v>
      </c>
      <c r="B10">
        <v>136</v>
      </c>
      <c r="C10" t="s">
        <v>257</v>
      </c>
      <c r="D10" t="s">
        <v>480</v>
      </c>
      <c r="E10" t="s">
        <v>892</v>
      </c>
      <c r="G10" s="5">
        <v>6.9641203703703705E-4</v>
      </c>
      <c r="H10" s="5">
        <v>7.1527777777777779E-4</v>
      </c>
      <c r="I10" s="5">
        <v>1.4116898148148148E-3</v>
      </c>
      <c r="K10">
        <v>121964</v>
      </c>
      <c r="L10" s="2">
        <f>_xlfn.LET(_xlpm.x,Table127163137496173109115[[#This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6.9641203703703705E-4</v>
      </c>
      <c r="M10" s="3">
        <f>IF(Table127163137496173109115[[#This Row],[run 1 times]]="",999.99,IF(Table127163137496173109115[[#This Row],[run 1 times]]=$S$3,0,MAX(0,ROUND(((Table127163137496173109115[[#This Row],[run 1 times]]-$S$3)/$S$3)*$T$6,2))))</f>
        <v>205.68</v>
      </c>
      <c r="N10" s="2">
        <f>_xlfn.LET(_xlpm.x,Table127163137496173109115[[#This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7.1527777777777779E-4</v>
      </c>
      <c r="O10" s="3">
        <f>IF(Table127163137496173109115[[#This Row],[run2 times]]="",999.99,IF(Table127163137496173109115[[#This Row],[run2 times]]=$T$3,0,MAX(0,ROUND(((Table127163137496173109115[[#This Row],[run2 times]]-$T$3)/$T$3)*$T$6,2))))</f>
        <v>205.78</v>
      </c>
      <c r="P10" s="2">
        <f>IF(OR(Table127163137496173109115[[#This Row],[run 1 times]]="",Table127163137496173109115[[#This Row],[run2 times]]=""),"",Table127163137496173109115[[#This Row],[run 1 times]]+Table127163137496173109115[[#This Row],[run2 times]])</f>
        <v>1.4116898148148148E-3</v>
      </c>
      <c r="Q10" s="3">
        <f>IF(Table127163137496173109115[[#This Row],[total time]]="",999.99,IF(Table127163137496173109115[[#This Row],[total time]]=$U$3,0,MAX(0,ROUND(((Table127163137496173109115[[#This Row],[total time]]-$U$3)/$U$3)*$T$6,2))))</f>
        <v>203.33</v>
      </c>
      <c r="W10">
        <v>16</v>
      </c>
      <c r="X10">
        <v>78</v>
      </c>
      <c r="Y10" t="s">
        <v>373</v>
      </c>
      <c r="Z10" t="s">
        <v>547</v>
      </c>
      <c r="AA10" t="s">
        <v>758</v>
      </c>
      <c r="AB10">
        <v>2011</v>
      </c>
      <c r="AC10">
        <v>48.27</v>
      </c>
      <c r="AD10">
        <v>50.89</v>
      </c>
      <c r="AE10" s="5">
        <v>1.1476851851851852E-3</v>
      </c>
      <c r="AG10">
        <v>94814</v>
      </c>
      <c r="AH10" s="2">
        <f>_xlfn.LET(_xlpm.x,Table122110193440526476112118[[#This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5.5868055555555564E-4</v>
      </c>
      <c r="AI10" s="3">
        <f>IF(Table122110193440526476112118[[#This Row],[run 1 times]]="",999.99,IF(Table122110193440526476112118[[#This Row],[run 1 times]]=$AO$3,0,MAX(0,ROUND(((Table122110193440526476112118[[#This Row],[run 1 times]]-$AO$3)/$AO$3)*$AP$6,2))))</f>
        <v>99.28</v>
      </c>
      <c r="AJ10" s="2">
        <f>_xlfn.LET(_xlpm.x,Table122110193440526476112118[[#This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5.8900462962962964E-4</v>
      </c>
      <c r="AK10" s="3">
        <f>IF(Table122110193440526476112118[[#This Row],[run2 times]]="",999.99,IF(Table122110193440526476112118[[#This Row],[run2 times]]=$AP$3,0,MAX(0,ROUND(((Table122110193440526476112118[[#This Row],[run2 times]]-$AP$3)/$AP$3)*$AP$6,2))))</f>
        <v>76.89</v>
      </c>
      <c r="AL10" s="2">
        <f>IF(OR(Table122110193440526476112118[[#This Row],[run 1 times]]="",Table122110193440526476112118[[#This Row],[run2 times]]=""),"",Table122110193440526476112118[[#This Row],[run 1 times]]+Table122110193440526476112118[[#This Row],[run2 times]])</f>
        <v>1.1476851851851852E-3</v>
      </c>
      <c r="AM10" s="3">
        <f>IF(Table122110193440526476112118[[#This Row],[total time]]="",999.99,IF(Table122110193440526476112118[[#This Row],[total time]]=$AQ$3,0,MAX(0,ROUND(((Table122110193440526476112118[[#This Row],[total time]]-$AQ$3)/$AQ$3)*$AP$6,2))))</f>
        <v>87.67</v>
      </c>
    </row>
    <row r="11" spans="1:43" x14ac:dyDescent="0.3">
      <c r="A11">
        <v>20</v>
      </c>
      <c r="B11">
        <v>42</v>
      </c>
      <c r="C11" t="s">
        <v>373</v>
      </c>
      <c r="D11" t="s">
        <v>480</v>
      </c>
      <c r="E11" t="s">
        <v>687</v>
      </c>
      <c r="F11">
        <v>2015</v>
      </c>
      <c r="G11" s="5">
        <v>8.1990740740740743E-4</v>
      </c>
      <c r="H11" s="5">
        <v>7.9965277777777782E-4</v>
      </c>
      <c r="I11" s="5">
        <v>1.6195601851851853E-3</v>
      </c>
      <c r="K11">
        <v>119094</v>
      </c>
      <c r="L11" s="2">
        <f>_xlfn.LET(_xlpm.x,Table127163137496173109115[[#This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8.1990740740740743E-4</v>
      </c>
      <c r="M11" s="3">
        <f>IF(Table127163137496173109115[[#This Row],[run 1 times]]="",999.99,IF(Table127163137496173109115[[#This Row],[run 1 times]]=$S$3,0,MAX(0,ROUND(((Table127163137496173109115[[#This Row],[run 1 times]]-$S$3)/$S$3)*$T$6,2))))</f>
        <v>421.25</v>
      </c>
      <c r="N11" s="2">
        <f>_xlfn.LET(_xlpm.x,Table127163137496173109115[[#This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7.9965277777777782E-4</v>
      </c>
      <c r="O11" s="3">
        <f>IF(Table127163137496173109115[[#This Row],[run2 times]]="",999.99,IF(Table127163137496173109115[[#This Row],[run2 times]]=$T$3,0,MAX(0,ROUND(((Table127163137496173109115[[#This Row],[run2 times]]-$T$3)/$T$3)*$T$6,2))))</f>
        <v>349.19</v>
      </c>
      <c r="P11" s="2">
        <f>IF(OR(Table127163137496173109115[[#This Row],[run 1 times]]="",Table127163137496173109115[[#This Row],[run2 times]]=""),"",Table127163137496173109115[[#This Row],[run 1 times]]+Table127163137496173109115[[#This Row],[run2 times]])</f>
        <v>1.6195601851851853E-3</v>
      </c>
      <c r="Q11" s="3">
        <f>IF(Table127163137496173109115[[#This Row],[total time]]="",999.99,IF(Table127163137496173109115[[#This Row],[total time]]=$U$3,0,MAX(0,ROUND(((Table127163137496173109115[[#This Row],[total time]]-$U$3)/$U$3)*$T$6,2))))</f>
        <v>382</v>
      </c>
      <c r="W11">
        <v>1</v>
      </c>
      <c r="X11">
        <v>87</v>
      </c>
      <c r="Y11" t="s">
        <v>257</v>
      </c>
      <c r="Z11" t="s">
        <v>547</v>
      </c>
      <c r="AA11" t="s">
        <v>741</v>
      </c>
      <c r="AB11">
        <v>2010</v>
      </c>
      <c r="AC11">
        <v>49.47</v>
      </c>
      <c r="AD11">
        <v>51.77</v>
      </c>
      <c r="AE11" s="5">
        <v>1.1717592592592593E-3</v>
      </c>
      <c r="AG11">
        <v>102719</v>
      </c>
      <c r="AH11" s="2">
        <f>_xlfn.LET(_xlpm.x,Table122110193440526476112118[[#This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5.7256944444444445E-4</v>
      </c>
      <c r="AI11" s="3">
        <f>IF(Table122110193440526476112118[[#This Row],[run 1 times]]="",999.99,IF(Table122110193440526476112118[[#This Row],[run 1 times]]=$AO$3,0,MAX(0,ROUND(((Table122110193440526476112118[[#This Row],[run 1 times]]-$AO$3)/$AO$3)*$AP$6,2))))</f>
        <v>126.85</v>
      </c>
      <c r="AJ11" s="2">
        <f>_xlfn.LET(_xlpm.x,Table122110193440526476112118[[#This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5.9918981481481488E-4</v>
      </c>
      <c r="AK11" s="3">
        <f>IF(Table122110193440526476112118[[#This Row],[run2 times]]="",999.99,IF(Table122110193440526476112118[[#This Row],[run2 times]]=$AP$3,0,MAX(0,ROUND(((Table122110193440526476112118[[#This Row],[run2 times]]-$AP$3)/$AP$3)*$AP$6,2))))</f>
        <v>95.68</v>
      </c>
      <c r="AL11" s="2">
        <f>IF(OR(Table122110193440526476112118[[#This Row],[run 1 times]]="",Table122110193440526476112118[[#This Row],[run2 times]]=""),"",Table122110193440526476112118[[#This Row],[run 1 times]]+Table122110193440526476112118[[#This Row],[run2 times]])</f>
        <v>1.1717592592592593E-3</v>
      </c>
      <c r="AM11" s="3">
        <f>IF(Table122110193440526476112118[[#This Row],[total time]]="",999.99,IF(Table122110193440526476112118[[#This Row],[total time]]=$AQ$3,0,MAX(0,ROUND(((Table122110193440526476112118[[#This Row],[total time]]-$AQ$3)/$AQ$3)*$AP$6,2))))</f>
        <v>110.7</v>
      </c>
    </row>
    <row r="12" spans="1:43" x14ac:dyDescent="0.3">
      <c r="A12">
        <v>16</v>
      </c>
      <c r="B12">
        <v>38</v>
      </c>
      <c r="C12" t="s">
        <v>257</v>
      </c>
      <c r="D12" t="s">
        <v>480</v>
      </c>
      <c r="E12" t="s">
        <v>880</v>
      </c>
      <c r="G12" t="s">
        <v>518</v>
      </c>
      <c r="H12" s="5">
        <v>7.3946759259259256E-4</v>
      </c>
      <c r="K12">
        <v>124081</v>
      </c>
      <c r="L12" s="2" t="str">
        <f>_xlfn.LET(_xlpm.x,Table127163137496173109115[[#This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12" s="3">
        <f>IF(Table127163137496173109115[[#This Row],[run 1 times]]="",999.99,IF(Table127163137496173109115[[#This Row],[run 1 times]]=$S$3,0,MAX(0,ROUND(((Table127163137496173109115[[#This Row],[run 1 times]]-$S$3)/$S$3)*$T$6,2))))</f>
        <v>999.99</v>
      </c>
      <c r="N12" s="2">
        <f>_xlfn.LET(_xlpm.x,Table127163137496173109115[[#This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7.3946759259259256E-4</v>
      </c>
      <c r="O12" s="3">
        <f>IF(Table127163137496173109115[[#This Row],[run2 times]]="",999.99,IF(Table127163137496173109115[[#This Row],[run2 times]]=$T$3,0,MAX(0,ROUND(((Table127163137496173109115[[#This Row],[run2 times]]-$T$3)/$T$3)*$T$6,2))))</f>
        <v>246.89</v>
      </c>
      <c r="P12" s="2" t="str">
        <f>IF(OR(Table127163137496173109115[[#This Row],[run 1 times]]="",Table127163137496173109115[[#This Row],[run2 times]]=""),"",Table127163137496173109115[[#This Row],[run 1 times]]+Table127163137496173109115[[#This Row],[run2 times]])</f>
        <v/>
      </c>
      <c r="Q12" s="3">
        <f>IF(Table127163137496173109115[[#This Row],[total time]]="",999.99,IF(Table127163137496173109115[[#This Row],[total time]]=$U$3,0,MAX(0,ROUND(((Table127163137496173109115[[#This Row],[total time]]-$U$3)/$U$3)*$T$6,2))))</f>
        <v>999.99</v>
      </c>
      <c r="W12">
        <v>10</v>
      </c>
      <c r="X12">
        <v>96</v>
      </c>
      <c r="Y12" t="s">
        <v>24</v>
      </c>
      <c r="Z12" t="s">
        <v>547</v>
      </c>
      <c r="AA12" t="s">
        <v>751</v>
      </c>
      <c r="AB12">
        <v>2010</v>
      </c>
      <c r="AC12">
        <v>50.04</v>
      </c>
      <c r="AD12">
        <v>55.25</v>
      </c>
      <c r="AE12" s="5">
        <v>1.2186342592592591E-3</v>
      </c>
      <c r="AG12">
        <v>88776</v>
      </c>
      <c r="AH12" s="2">
        <f>_xlfn.LET(_xlpm.x,Table122110193440526476112118[[#This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5.7916666666666663E-4</v>
      </c>
      <c r="AI12" s="3">
        <f>IF(Table122110193440526476112118[[#This Row],[run 1 times]]="",999.99,IF(Table122110193440526476112118[[#This Row],[run 1 times]]=$AO$3,0,MAX(0,ROUND(((Table122110193440526476112118[[#This Row],[run 1 times]]-$AO$3)/$AO$3)*$AP$6,2))))</f>
        <v>139.94999999999999</v>
      </c>
      <c r="AJ12" s="2">
        <f>_xlfn.LET(_xlpm.x,Table122110193440526476112118[[#This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6.3946759259259263E-4</v>
      </c>
      <c r="AK12" s="3">
        <f>IF(Table122110193440526476112118[[#This Row],[run2 times]]="",999.99,IF(Table122110193440526476112118[[#This Row],[run2 times]]=$AP$3,0,MAX(0,ROUND(((Table122110193440526476112118[[#This Row],[run2 times]]-$AP$3)/$AP$3)*$AP$6,2))))</f>
        <v>170.01</v>
      </c>
      <c r="AL12" s="2">
        <f>IF(OR(Table122110193440526476112118[[#This Row],[run 1 times]]="",Table122110193440526476112118[[#This Row],[run2 times]]=""),"",Table122110193440526476112118[[#This Row],[run 1 times]]+Table122110193440526476112118[[#This Row],[run2 times]])</f>
        <v>1.2186342592592591E-3</v>
      </c>
      <c r="AM12" s="3">
        <f>IF(Table122110193440526476112118[[#This Row],[total time]]="",999.99,IF(Table122110193440526476112118[[#This Row],[total time]]=$AQ$3,0,MAX(0,ROUND(((Table122110193440526476112118[[#This Row],[total time]]-$AQ$3)/$AQ$3)*$AP$6,2))))</f>
        <v>155.53</v>
      </c>
    </row>
    <row r="13" spans="1:43" x14ac:dyDescent="0.3">
      <c r="A13">
        <v>9</v>
      </c>
      <c r="B13">
        <v>52</v>
      </c>
      <c r="C13" t="s">
        <v>257</v>
      </c>
      <c r="D13" t="s">
        <v>480</v>
      </c>
      <c r="E13" t="s">
        <v>682</v>
      </c>
      <c r="G13" t="s">
        <v>518</v>
      </c>
      <c r="H13" s="5">
        <v>7.0682870370370366E-4</v>
      </c>
      <c r="K13">
        <v>120809</v>
      </c>
      <c r="L13" s="2" t="str">
        <f>_xlfn.LET(_xlpm.x,Table127163137496173109115[[#This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13" s="3">
        <f>IF(Table127163137496173109115[[#This Row],[run 1 times]]="",999.99,IF(Table127163137496173109115[[#This Row],[run 1 times]]=$S$3,0,MAX(0,ROUND(((Table127163137496173109115[[#This Row],[run 1 times]]-$S$3)/$S$3)*$T$6,2))))</f>
        <v>999.99</v>
      </c>
      <c r="N13" s="2">
        <f>_xlfn.LET(_xlpm.x,Table127163137496173109115[[#This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7.0682870370370366E-4</v>
      </c>
      <c r="O13" s="3">
        <f>IF(Table127163137496173109115[[#This Row],[run2 times]]="",999.99,IF(Table127163137496173109115[[#This Row],[run2 times]]=$T$3,0,MAX(0,ROUND(((Table127163137496173109115[[#This Row],[run2 times]]-$T$3)/$T$3)*$T$6,2))))</f>
        <v>191.42</v>
      </c>
      <c r="P13" s="2" t="str">
        <f>IF(OR(Table127163137496173109115[[#This Row],[run 1 times]]="",Table127163137496173109115[[#This Row],[run2 times]]=""),"",Table127163137496173109115[[#This Row],[run 1 times]]+Table127163137496173109115[[#This Row],[run2 times]])</f>
        <v/>
      </c>
      <c r="Q13" s="3">
        <f>IF(Table127163137496173109115[[#This Row],[total time]]="",999.99,IF(Table127163137496173109115[[#This Row],[total time]]=$U$3,0,MAX(0,ROUND(((Table127163137496173109115[[#This Row],[total time]]-$U$3)/$U$3)*$T$6,2))))</f>
        <v>999.99</v>
      </c>
      <c r="W13">
        <v>15</v>
      </c>
      <c r="X13">
        <v>77</v>
      </c>
      <c r="Y13" t="s">
        <v>24</v>
      </c>
      <c r="Z13" t="s">
        <v>547</v>
      </c>
      <c r="AA13" t="s">
        <v>840</v>
      </c>
      <c r="AB13">
        <v>2010</v>
      </c>
      <c r="AC13" t="s">
        <v>510</v>
      </c>
      <c r="AD13" t="s">
        <v>510</v>
      </c>
      <c r="AG13">
        <v>88937</v>
      </c>
      <c r="AH13" s="2" t="str">
        <f>_xlfn.LET(_xlpm.x,Table122110193440526476112118[[#This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13" s="3">
        <f>IF(Table122110193440526476112118[[#This Row],[run 1 times]]="",999.99,IF(Table122110193440526476112118[[#This Row],[run 1 times]]=$AO$3,0,MAX(0,ROUND(((Table122110193440526476112118[[#This Row],[run 1 times]]-$AO$3)/$AO$3)*$AP$6,2))))</f>
        <v>999.99</v>
      </c>
      <c r="AJ13" s="2" t="str">
        <f>_xlfn.LET(_xlpm.x,Table122110193440526476112118[[#This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13" s="3">
        <f>IF(Table122110193440526476112118[[#This Row],[run2 times]]="",999.99,IF(Table122110193440526476112118[[#This Row],[run2 times]]=$AP$3,0,MAX(0,ROUND(((Table122110193440526476112118[[#This Row],[run2 times]]-$AP$3)/$AP$3)*$AP$6,2))))</f>
        <v>999.99</v>
      </c>
      <c r="AL13" s="2" t="str">
        <f>IF(OR(Table122110193440526476112118[[#This Row],[run 1 times]]="",Table122110193440526476112118[[#This Row],[run2 times]]=""),"",Table122110193440526476112118[[#This Row],[run 1 times]]+Table122110193440526476112118[[#This Row],[run2 times]])</f>
        <v/>
      </c>
      <c r="AM13" s="3">
        <f>IF(Table122110193440526476112118[[#This Row],[total time]]="",999.99,IF(Table122110193440526476112118[[#This Row],[total time]]=$AQ$3,0,MAX(0,ROUND(((Table122110193440526476112118[[#This Row],[total time]]-$AQ$3)/$AQ$3)*$AP$6,2))))</f>
        <v>999.99</v>
      </c>
    </row>
    <row r="14" spans="1:43" x14ac:dyDescent="0.3">
      <c r="A14">
        <v>4</v>
      </c>
      <c r="B14">
        <v>47</v>
      </c>
      <c r="C14" t="s">
        <v>257</v>
      </c>
      <c r="D14" t="s">
        <v>480</v>
      </c>
      <c r="E14" t="s">
        <v>689</v>
      </c>
      <c r="G14" t="s">
        <v>518</v>
      </c>
      <c r="H14" s="5">
        <v>8.1250000000000007E-4</v>
      </c>
      <c r="K14">
        <v>124075</v>
      </c>
      <c r="L14" s="2" t="str">
        <f>_xlfn.LET(_xlpm.x,Table127163137496173109115[[#This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14" s="3">
        <f>IF(Table127163137496173109115[[#This Row],[run 1 times]]="",999.99,IF(Table127163137496173109115[[#This Row],[run 1 times]]=$S$3,0,MAX(0,ROUND(((Table127163137496173109115[[#This Row],[run 1 times]]-$S$3)/$S$3)*$T$6,2))))</f>
        <v>999.99</v>
      </c>
      <c r="N14" s="2">
        <f>_xlfn.LET(_xlpm.x,Table127163137496173109115[[#This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8.1250000000000007E-4</v>
      </c>
      <c r="O14" s="3">
        <f>IF(Table127163137496173109115[[#This Row],[run2 times]]="",999.99,IF(Table127163137496173109115[[#This Row],[run2 times]]=$T$3,0,MAX(0,ROUND(((Table127163137496173109115[[#This Row],[run2 times]]-$T$3)/$T$3)*$T$6,2))))</f>
        <v>371.03</v>
      </c>
      <c r="P14" s="2" t="str">
        <f>IF(OR(Table127163137496173109115[[#This Row],[run 1 times]]="",Table127163137496173109115[[#This Row],[run2 times]]=""),"",Table127163137496173109115[[#This Row],[run 1 times]]+Table127163137496173109115[[#This Row],[run2 times]])</f>
        <v/>
      </c>
      <c r="Q14" s="3">
        <f>IF(Table127163137496173109115[[#This Row],[total time]]="",999.99,IF(Table127163137496173109115[[#This Row],[total time]]=$U$3,0,MAX(0,ROUND(((Table127163137496173109115[[#This Row],[total time]]-$U$3)/$U$3)*$T$6,2))))</f>
        <v>999.99</v>
      </c>
      <c r="W14">
        <v>20</v>
      </c>
      <c r="X14">
        <v>82</v>
      </c>
      <c r="Y14" t="s">
        <v>24</v>
      </c>
      <c r="Z14" t="s">
        <v>547</v>
      </c>
      <c r="AA14" t="s">
        <v>754</v>
      </c>
      <c r="AB14">
        <v>2010</v>
      </c>
      <c r="AC14" t="s">
        <v>512</v>
      </c>
      <c r="AD14">
        <v>52.63</v>
      </c>
      <c r="AG14">
        <v>93749</v>
      </c>
      <c r="AH14" s="2" t="str">
        <f>_xlfn.LET(_xlpm.x,Table122110193440526476112118[[#This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14" s="3">
        <f>IF(Table122110193440526476112118[[#This Row],[run 1 times]]="",999.99,IF(Table122110193440526476112118[[#This Row],[run 1 times]]=$AO$3,0,MAX(0,ROUND(((Table122110193440526476112118[[#This Row],[run 1 times]]-$AO$3)/$AO$3)*$AP$6,2))))</f>
        <v>999.99</v>
      </c>
      <c r="AJ14" s="2">
        <f>_xlfn.LET(_xlpm.x,Table122110193440526476112118[[#This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6.0914351851851852E-4</v>
      </c>
      <c r="AK14" s="3">
        <f>IF(Table122110193440526476112118[[#This Row],[run2 times]]="",999.99,IF(Table122110193440526476112118[[#This Row],[run2 times]]=$AP$3,0,MAX(0,ROUND(((Table122110193440526476112118[[#This Row],[run2 times]]-$AP$3)/$AP$3)*$AP$6,2))))</f>
        <v>114.05</v>
      </c>
      <c r="AL14" s="2" t="str">
        <f>IF(OR(Table122110193440526476112118[[#This Row],[run 1 times]]="",Table122110193440526476112118[[#This Row],[run2 times]]=""),"",Table122110193440526476112118[[#This Row],[run 1 times]]+Table122110193440526476112118[[#This Row],[run2 times]])</f>
        <v/>
      </c>
      <c r="AM14" s="3">
        <f>IF(Table122110193440526476112118[[#This Row],[total time]]="",999.99,IF(Table122110193440526476112118[[#This Row],[total time]]=$AQ$3,0,MAX(0,ROUND(((Table122110193440526476112118[[#This Row],[total time]]-$AQ$3)/$AQ$3)*$AP$6,2))))</f>
        <v>999.99</v>
      </c>
    </row>
    <row r="15" spans="1:43" x14ac:dyDescent="0.3">
      <c r="A15">
        <v>12</v>
      </c>
      <c r="B15">
        <v>34</v>
      </c>
      <c r="C15" t="s">
        <v>257</v>
      </c>
      <c r="D15" t="s">
        <v>480</v>
      </c>
      <c r="E15" t="s">
        <v>671</v>
      </c>
      <c r="G15">
        <v>52.29</v>
      </c>
      <c r="H15" t="s">
        <v>518</v>
      </c>
      <c r="K15">
        <v>119078</v>
      </c>
      <c r="L15" s="2">
        <f>_xlfn.LET(_xlpm.x,Table127163137496173109115[[#This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6.0520833333333336E-4</v>
      </c>
      <c r="M15" s="3">
        <f>IF(Table127163137496173109115[[#This Row],[run 1 times]]="",999.99,IF(Table127163137496173109115[[#This Row],[run 1 times]]=$S$3,0,MAX(0,ROUND(((Table127163137496173109115[[#This Row],[run 1 times]]-$S$3)/$S$3)*$T$6,2))))</f>
        <v>46.47</v>
      </c>
      <c r="N15" s="2" t="str">
        <f>_xlfn.LET(_xlpm.x,Table127163137496173109115[[#This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15" s="3">
        <f>IF(Table127163137496173109115[[#This Row],[run2 times]]="",999.99,IF(Table127163137496173109115[[#This Row],[run2 times]]=$T$3,0,MAX(0,ROUND(((Table127163137496173109115[[#This Row],[run2 times]]-$T$3)/$T$3)*$T$6,2))))</f>
        <v>999.99</v>
      </c>
      <c r="P15" s="2" t="str">
        <f>IF(OR(Table127163137496173109115[[#This Row],[run 1 times]]="",Table127163137496173109115[[#This Row],[run2 times]]=""),"",Table127163137496173109115[[#This Row],[run 1 times]]+Table127163137496173109115[[#This Row],[run2 times]])</f>
        <v/>
      </c>
      <c r="Q15" s="3">
        <f>IF(Table127163137496173109115[[#This Row],[total time]]="",999.99,IF(Table127163137496173109115[[#This Row],[total time]]=$U$3,0,MAX(0,ROUND(((Table127163137496173109115[[#This Row],[total time]]-$U$3)/$U$3)*$T$6,2))))</f>
        <v>999.99</v>
      </c>
      <c r="W15">
        <v>12</v>
      </c>
      <c r="X15">
        <v>98</v>
      </c>
      <c r="Y15" t="s">
        <v>223</v>
      </c>
      <c r="Z15" t="s">
        <v>547</v>
      </c>
      <c r="AA15" t="s">
        <v>746</v>
      </c>
      <c r="AB15">
        <v>2011</v>
      </c>
      <c r="AC15" t="s">
        <v>512</v>
      </c>
      <c r="AD15">
        <v>51.86</v>
      </c>
      <c r="AG15">
        <v>93462</v>
      </c>
      <c r="AH15" s="2" t="str">
        <f>_xlfn.LET(_xlpm.x,Table122110193440526476112118[[#This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15" s="3">
        <f>IF(Table122110193440526476112118[[#This Row],[run 1 times]]="",999.99,IF(Table122110193440526476112118[[#This Row],[run 1 times]]=$AO$3,0,MAX(0,ROUND(((Table122110193440526476112118[[#This Row],[run 1 times]]-$AO$3)/$AO$3)*$AP$6,2))))</f>
        <v>999.99</v>
      </c>
      <c r="AJ15" s="2">
        <f>_xlfn.LET(_xlpm.x,Table122110193440526476112118[[#This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6.0023148148148143E-4</v>
      </c>
      <c r="AK15" s="3">
        <f>IF(Table122110193440526476112118[[#This Row],[run2 times]]="",999.99,IF(Table122110193440526476112118[[#This Row],[run2 times]]=$AP$3,0,MAX(0,ROUND(((Table122110193440526476112118[[#This Row],[run2 times]]-$AP$3)/$AP$3)*$AP$6,2))))</f>
        <v>97.6</v>
      </c>
      <c r="AL15" s="2" t="str">
        <f>IF(OR(Table122110193440526476112118[[#This Row],[run 1 times]]="",Table122110193440526476112118[[#This Row],[run2 times]]=""),"",Table122110193440526476112118[[#This Row],[run 1 times]]+Table122110193440526476112118[[#This Row],[run2 times]])</f>
        <v/>
      </c>
      <c r="AM15" s="3">
        <f>IF(Table122110193440526476112118[[#This Row],[total time]]="",999.99,IF(Table122110193440526476112118[[#This Row],[total time]]=$AQ$3,0,MAX(0,ROUND(((Table122110193440526476112118[[#This Row],[total time]]-$AQ$3)/$AQ$3)*$AP$6,2))))</f>
        <v>999.99</v>
      </c>
    </row>
    <row r="16" spans="1:43" x14ac:dyDescent="0.3">
      <c r="A16">
        <v>3</v>
      </c>
      <c r="B16">
        <v>46</v>
      </c>
      <c r="C16" t="s">
        <v>223</v>
      </c>
      <c r="D16" t="s">
        <v>522</v>
      </c>
      <c r="E16" t="s">
        <v>672</v>
      </c>
      <c r="F16">
        <v>2013</v>
      </c>
      <c r="G16">
        <v>49.99</v>
      </c>
      <c r="H16">
        <v>51.54</v>
      </c>
      <c r="I16" s="5">
        <v>1.1751157407407407E-3</v>
      </c>
      <c r="K16">
        <v>105181</v>
      </c>
      <c r="L16" s="2">
        <f>_xlfn.LET(_xlpm.x,Table127163137496173109115[[#This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5.7858796296296304E-4</v>
      </c>
      <c r="M16" s="3">
        <f>IF(Table127163137496173109115[[#This Row],[run 1 times]]="",999.99,IF(Table127163137496173109115[[#This Row],[run 1 times]]=$S$3,0,MAX(0,ROUND(((Table127163137496173109115[[#This Row],[run 1 times]]-$S$3)/$S$3)*$T$6,2))))</f>
        <v>0</v>
      </c>
      <c r="N16" s="2">
        <f>_xlfn.LET(_xlpm.x,Table127163137496173109115[[#This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5.9652777777777775E-4</v>
      </c>
      <c r="O16" s="3">
        <f>IF(Table127163137496173109115[[#This Row],[run2 times]]="",999.99,IF(Table127163137496173109115[[#This Row],[run2 times]]=$T$3,0,MAX(0,ROUND(((Table127163137496173109115[[#This Row],[run2 times]]-$T$3)/$T$3)*$T$6,2))))</f>
        <v>3.93</v>
      </c>
      <c r="P16" s="2">
        <f>IF(OR(Table127163137496173109115[[#This Row],[run 1 times]]="",Table127163137496173109115[[#This Row],[run2 times]]=""),"",Table127163137496173109115[[#This Row],[run 1 times]]+Table127163137496173109115[[#This Row],[run2 times]])</f>
        <v>1.1751157407407409E-3</v>
      </c>
      <c r="Q16" s="3">
        <f>IF(Table127163137496173109115[[#This Row],[total time]]="",999.99,IF(Table127163137496173109115[[#This Row],[total time]]=$U$3,0,MAX(0,ROUND(((Table127163137496173109115[[#This Row],[total time]]-$U$3)/$U$3)*$T$6,2))))</f>
        <v>0</v>
      </c>
      <c r="W16">
        <v>21</v>
      </c>
      <c r="X16">
        <v>83</v>
      </c>
      <c r="Y16" t="s">
        <v>223</v>
      </c>
      <c r="Z16" t="s">
        <v>547</v>
      </c>
      <c r="AA16" t="s">
        <v>745</v>
      </c>
      <c r="AB16">
        <v>2011</v>
      </c>
      <c r="AC16">
        <v>46.21</v>
      </c>
      <c r="AD16" t="s">
        <v>512</v>
      </c>
      <c r="AG16">
        <v>102458</v>
      </c>
      <c r="AH16" s="2">
        <f>_xlfn.LET(_xlpm.x,Table122110193440526476112118[[#This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5.3483796296296298E-4</v>
      </c>
      <c r="AI16" s="3">
        <f>IF(Table122110193440526476112118[[#This Row],[run 1 times]]="",999.99,IF(Table122110193440526476112118[[#This Row],[run 1 times]]=$AO$3,0,MAX(0,ROUND(((Table122110193440526476112118[[#This Row],[run 1 times]]-$AO$3)/$AO$3)*$AP$6,2))))</f>
        <v>51.94</v>
      </c>
      <c r="AJ16" s="2" t="str">
        <f>_xlfn.LET(_xlpm.x,Table122110193440526476112118[[#This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16" s="3">
        <f>IF(Table122110193440526476112118[[#This Row],[run2 times]]="",999.99,IF(Table122110193440526476112118[[#This Row],[run2 times]]=$AP$3,0,MAX(0,ROUND(((Table122110193440526476112118[[#This Row],[run2 times]]-$AP$3)/$AP$3)*$AP$6,2))))</f>
        <v>999.99</v>
      </c>
      <c r="AL16" s="2" t="str">
        <f>IF(OR(Table122110193440526476112118[[#This Row],[run 1 times]]="",Table122110193440526476112118[[#This Row],[run2 times]]=""),"",Table122110193440526476112118[[#This Row],[run 1 times]]+Table122110193440526476112118[[#This Row],[run2 times]])</f>
        <v/>
      </c>
      <c r="AM16" s="3">
        <f>IF(Table122110193440526476112118[[#This Row],[total time]]="",999.99,IF(Table122110193440526476112118[[#This Row],[total time]]=$AQ$3,0,MAX(0,ROUND(((Table122110193440526476112118[[#This Row],[total time]]-$AQ$3)/$AQ$3)*$AP$6,2))))</f>
        <v>999.99</v>
      </c>
    </row>
    <row r="17" spans="1:39" x14ac:dyDescent="0.3">
      <c r="A17">
        <v>17</v>
      </c>
      <c r="B17">
        <v>39</v>
      </c>
      <c r="C17" t="s">
        <v>257</v>
      </c>
      <c r="D17" t="s">
        <v>522</v>
      </c>
      <c r="E17" t="s">
        <v>698</v>
      </c>
      <c r="F17">
        <v>2012</v>
      </c>
      <c r="G17">
        <v>51.12</v>
      </c>
      <c r="H17">
        <v>51.59</v>
      </c>
      <c r="I17" s="5">
        <v>1.1887731481481482E-3</v>
      </c>
      <c r="K17">
        <v>102726</v>
      </c>
      <c r="L17" s="2">
        <f>_xlfn.LET(_xlpm.x,Table127163137496173109115[[#This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5.9166666666666666E-4</v>
      </c>
      <c r="M17" s="3">
        <f>IF(Table127163137496173109115[[#This Row],[run 1 times]]="",999.99,IF(Table127163137496173109115[[#This Row],[run 1 times]]=$S$3,0,MAX(0,ROUND(((Table127163137496173109115[[#This Row],[run 1 times]]-$S$3)/$S$3)*$T$6,2))))</f>
        <v>22.83</v>
      </c>
      <c r="N17" s="2">
        <f>_xlfn.LET(_xlpm.x,Table127163137496173109115[[#This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5.9710648148148155E-4</v>
      </c>
      <c r="O17" s="3">
        <f>IF(Table127163137496173109115[[#This Row],[run2 times]]="",999.99,IF(Table127163137496173109115[[#This Row],[run2 times]]=$T$3,0,MAX(0,ROUND(((Table127163137496173109115[[#This Row],[run2 times]]-$T$3)/$T$3)*$T$6,2))))</f>
        <v>4.92</v>
      </c>
      <c r="P17" s="2">
        <f>IF(OR(Table127163137496173109115[[#This Row],[run 1 times]]="",Table127163137496173109115[[#This Row],[run2 times]]=""),"",Table127163137496173109115[[#This Row],[run 1 times]]+Table127163137496173109115[[#This Row],[run2 times]])</f>
        <v>1.1887731481481482E-3</v>
      </c>
      <c r="Q17" s="3">
        <f>IF(Table127163137496173109115[[#This Row],[total time]]="",999.99,IF(Table127163137496173109115[[#This Row],[total time]]=$U$3,0,MAX(0,ROUND(((Table127163137496173109115[[#This Row],[total time]]-$U$3)/$U$3)*$T$6,2))))</f>
        <v>11.74</v>
      </c>
      <c r="W17">
        <v>6</v>
      </c>
      <c r="X17">
        <v>92</v>
      </c>
      <c r="Y17" t="s">
        <v>257</v>
      </c>
      <c r="Z17" t="s">
        <v>547</v>
      </c>
      <c r="AA17" t="s">
        <v>743</v>
      </c>
      <c r="AB17">
        <v>2011</v>
      </c>
      <c r="AC17">
        <v>51.24</v>
      </c>
      <c r="AD17" t="s">
        <v>512</v>
      </c>
      <c r="AG17">
        <v>117685</v>
      </c>
      <c r="AH17" s="2">
        <f>_xlfn.LET(_xlpm.x,Table122110193440526476112118[[#This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5.9305555555555555E-4</v>
      </c>
      <c r="AI17" s="3">
        <f>IF(Table122110193440526476112118[[#This Row],[run 1 times]]="",999.99,IF(Table122110193440526476112118[[#This Row],[run 1 times]]=$AO$3,0,MAX(0,ROUND(((Table122110193440526476112118[[#This Row],[run 1 times]]-$AO$3)/$AO$3)*$AP$6,2))))</f>
        <v>167.53</v>
      </c>
      <c r="AJ17" s="2" t="str">
        <f>_xlfn.LET(_xlpm.x,Table122110193440526476112118[[#This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17" s="3">
        <f>IF(Table122110193440526476112118[[#This Row],[run2 times]]="",999.99,IF(Table122110193440526476112118[[#This Row],[run2 times]]=$AP$3,0,MAX(0,ROUND(((Table122110193440526476112118[[#This Row],[run2 times]]-$AP$3)/$AP$3)*$AP$6,2))))</f>
        <v>999.99</v>
      </c>
      <c r="AL17" s="2" t="str">
        <f>IF(OR(Table122110193440526476112118[[#This Row],[run 1 times]]="",Table122110193440526476112118[[#This Row],[run2 times]]=""),"",Table122110193440526476112118[[#This Row],[run 1 times]]+Table122110193440526476112118[[#This Row],[run2 times]])</f>
        <v/>
      </c>
      <c r="AM17" s="3">
        <f>IF(Table122110193440526476112118[[#This Row],[total time]]="",999.99,IF(Table122110193440526476112118[[#This Row],[total time]]=$AQ$3,0,MAX(0,ROUND(((Table122110193440526476112118[[#This Row],[total time]]-$AQ$3)/$AQ$3)*$AP$6,2))))</f>
        <v>999.99</v>
      </c>
    </row>
    <row r="18" spans="1:39" x14ac:dyDescent="0.3">
      <c r="A18">
        <v>8</v>
      </c>
      <c r="B18">
        <v>51</v>
      </c>
      <c r="C18" t="s">
        <v>257</v>
      </c>
      <c r="D18" t="s">
        <v>522</v>
      </c>
      <c r="E18" t="s">
        <v>709</v>
      </c>
      <c r="F18">
        <v>2012</v>
      </c>
      <c r="G18">
        <v>52.02</v>
      </c>
      <c r="H18">
        <v>51.34</v>
      </c>
      <c r="I18" s="5">
        <v>1.1962962962962962E-3</v>
      </c>
      <c r="K18">
        <v>107305</v>
      </c>
      <c r="L18" s="2">
        <f>_xlfn.LET(_xlpm.x,Table127163137496173109115[[#This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6.0208333333333338E-4</v>
      </c>
      <c r="M18" s="3">
        <f>IF(Table127163137496173109115[[#This Row],[run 1 times]]="",999.99,IF(Table127163137496173109115[[#This Row],[run 1 times]]=$S$3,0,MAX(0,ROUND(((Table127163137496173109115[[#This Row],[run 1 times]]-$S$3)/$S$3)*$T$6,2))))</f>
        <v>41.01</v>
      </c>
      <c r="N18" s="2">
        <f>_xlfn.LET(_xlpm.x,Table127163137496173109115[[#This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5.9421296296296305E-4</v>
      </c>
      <c r="O18" s="3">
        <f>IF(Table127163137496173109115[[#This Row],[run2 times]]="",999.99,IF(Table127163137496173109115[[#This Row],[run2 times]]=$T$3,0,MAX(0,ROUND(((Table127163137496173109115[[#This Row],[run2 times]]-$T$3)/$T$3)*$T$6,2))))</f>
        <v>0</v>
      </c>
      <c r="P18" s="2">
        <f>IF(OR(Table127163137496173109115[[#This Row],[run 1 times]]="",Table127163137496173109115[[#This Row],[run2 times]]=""),"",Table127163137496173109115[[#This Row],[run 1 times]]+Table127163137496173109115[[#This Row],[run2 times]])</f>
        <v>1.1962962962962964E-3</v>
      </c>
      <c r="Q18" s="3">
        <f>IF(Table127163137496173109115[[#This Row],[total time]]="",999.99,IF(Table127163137496173109115[[#This Row],[total time]]=$U$3,0,MAX(0,ROUND(((Table127163137496173109115[[#This Row],[total time]]-$U$3)/$U$3)*$T$6,2))))</f>
        <v>18.2</v>
      </c>
      <c r="W18">
        <v>5</v>
      </c>
      <c r="X18">
        <v>91</v>
      </c>
      <c r="Y18" t="s">
        <v>24</v>
      </c>
      <c r="Z18" t="s">
        <v>547</v>
      </c>
      <c r="AA18" t="s">
        <v>850</v>
      </c>
      <c r="AB18">
        <v>2010</v>
      </c>
      <c r="AC18">
        <v>48.34</v>
      </c>
      <c r="AD18" t="s">
        <v>512</v>
      </c>
      <c r="AG18">
        <v>87565</v>
      </c>
      <c r="AH18" s="2">
        <f>_xlfn.LET(_xlpm.x,Table122110193440526476112118[[#This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5.5949074074074082E-4</v>
      </c>
      <c r="AI18" s="3">
        <f>IF(Table122110193440526476112118[[#This Row],[run 1 times]]="",999.99,IF(Table122110193440526476112118[[#This Row],[run 1 times]]=$AO$3,0,MAX(0,ROUND(((Table122110193440526476112118[[#This Row],[run 1 times]]-$AO$3)/$AO$3)*$AP$6,2))))</f>
        <v>100.89</v>
      </c>
      <c r="AJ18" s="2" t="str">
        <f>_xlfn.LET(_xlpm.x,Table122110193440526476112118[[#This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18" s="3">
        <f>IF(Table122110193440526476112118[[#This Row],[run2 times]]="",999.99,IF(Table122110193440526476112118[[#This Row],[run2 times]]=$AP$3,0,MAX(0,ROUND(((Table122110193440526476112118[[#This Row],[run2 times]]-$AP$3)/$AP$3)*$AP$6,2))))</f>
        <v>999.99</v>
      </c>
      <c r="AL18" s="2" t="str">
        <f>IF(OR(Table122110193440526476112118[[#This Row],[run 1 times]]="",Table122110193440526476112118[[#This Row],[run2 times]]=""),"",Table122110193440526476112118[[#This Row],[run 1 times]]+Table122110193440526476112118[[#This Row],[run2 times]])</f>
        <v/>
      </c>
      <c r="AM18" s="3">
        <f>IF(Table122110193440526476112118[[#This Row],[total time]]="",999.99,IF(Table122110193440526476112118[[#This Row],[total time]]=$AQ$3,0,MAX(0,ROUND(((Table122110193440526476112118[[#This Row],[total time]]-$AQ$3)/$AQ$3)*$AP$6,2))))</f>
        <v>999.99</v>
      </c>
    </row>
    <row r="19" spans="1:39" x14ac:dyDescent="0.3">
      <c r="A19">
        <v>18</v>
      </c>
      <c r="B19">
        <v>40</v>
      </c>
      <c r="C19" t="s">
        <v>257</v>
      </c>
      <c r="D19" t="s">
        <v>522</v>
      </c>
      <c r="E19" t="s">
        <v>712</v>
      </c>
      <c r="F19">
        <v>2012</v>
      </c>
      <c r="G19">
        <v>53.31</v>
      </c>
      <c r="H19">
        <v>53.12</v>
      </c>
      <c r="I19" s="5">
        <v>1.2318287037037037E-3</v>
      </c>
      <c r="K19">
        <v>117686</v>
      </c>
      <c r="L19" s="2">
        <f>_xlfn.LET(_xlpm.x,Table127163137496173109115[[#This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6.1701388888888895E-4</v>
      </c>
      <c r="M19" s="3">
        <f>IF(Table127163137496173109115[[#This Row],[run 1 times]]="",999.99,IF(Table127163137496173109115[[#This Row],[run 1 times]]=$S$3,0,MAX(0,ROUND(((Table127163137496173109115[[#This Row],[run 1 times]]-$S$3)/$S$3)*$T$6,2))))</f>
        <v>67.08</v>
      </c>
      <c r="N19" s="2">
        <f>_xlfn.LET(_xlpm.x,Table127163137496173109115[[#This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6.1481481481481478E-4</v>
      </c>
      <c r="O19" s="3">
        <f>IF(Table127163137496173109115[[#This Row],[run2 times]]="",999.99,IF(Table127163137496173109115[[#This Row],[run2 times]]=$T$3,0,MAX(0,ROUND(((Table127163137496173109115[[#This Row],[run2 times]]-$T$3)/$T$3)*$T$6,2))))</f>
        <v>35.020000000000003</v>
      </c>
      <c r="P19" s="2">
        <f>IF(OR(Table127163137496173109115[[#This Row],[run 1 times]]="",Table127163137496173109115[[#This Row],[run2 times]]=""),"",Table127163137496173109115[[#This Row],[run 1 times]]+Table127163137496173109115[[#This Row],[run2 times]])</f>
        <v>1.2318287037037037E-3</v>
      </c>
      <c r="Q19" s="3">
        <f>IF(Table127163137496173109115[[#This Row],[total time]]="",999.99,IF(Table127163137496173109115[[#This Row],[total time]]=$U$3,0,MAX(0,ROUND(((Table127163137496173109115[[#This Row],[total time]]-$U$3)/$U$3)*$T$6,2))))</f>
        <v>48.74</v>
      </c>
      <c r="W19">
        <v>2</v>
      </c>
      <c r="X19">
        <v>88</v>
      </c>
      <c r="Y19" t="s">
        <v>24</v>
      </c>
      <c r="Z19" t="s">
        <v>552</v>
      </c>
      <c r="AA19" t="s">
        <v>761</v>
      </c>
      <c r="AB19">
        <v>2009</v>
      </c>
      <c r="AC19">
        <v>43.95</v>
      </c>
      <c r="AD19">
        <v>47.29</v>
      </c>
      <c r="AE19" s="5">
        <v>1.0560185185185184E-3</v>
      </c>
      <c r="AG19">
        <v>84474</v>
      </c>
      <c r="AH19" s="2">
        <f>_xlfn.LET(_xlpm.x,Table122110193440526476112118[[#This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5.0868055555555562E-4</v>
      </c>
      <c r="AI19" s="3">
        <f>IF(Table122110193440526476112118[[#This Row],[run 1 times]]="",999.99,IF(Table122110193440526476112118[[#This Row],[run 1 times]]=$AO$3,0,MAX(0,ROUND(((Table122110193440526476112118[[#This Row],[run 1 times]]-$AO$3)/$AO$3)*$AP$6,2))))</f>
        <v>0</v>
      </c>
      <c r="AJ19" s="2">
        <f>_xlfn.LET(_xlpm.x,Table122110193440526476112118[[#This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5.473379629629629E-4</v>
      </c>
      <c r="AK19" s="3">
        <f>IF(Table122110193440526476112118[[#This Row],[run2 times]]="",999.99,IF(Table122110193440526476112118[[#This Row],[run2 times]]=$AP$3,0,MAX(0,ROUND(((Table122110193440526476112118[[#This Row],[run2 times]]-$AP$3)/$AP$3)*$AP$6,2))))</f>
        <v>0</v>
      </c>
      <c r="AL19" s="2">
        <f>IF(OR(Table122110193440526476112118[[#This Row],[run 1 times]]="",Table122110193440526476112118[[#This Row],[run2 times]]=""),"",Table122110193440526476112118[[#This Row],[run 1 times]]+Table122110193440526476112118[[#This Row],[run2 times]])</f>
        <v>1.0560185185185186E-3</v>
      </c>
      <c r="AM19" s="3">
        <f>IF(Table122110193440526476112118[[#This Row],[total time]]="",999.99,IF(Table122110193440526476112118[[#This Row],[total time]]=$AQ$3,0,MAX(0,ROUND(((Table122110193440526476112118[[#This Row],[total time]]-$AQ$3)/$AQ$3)*$AP$6,2))))</f>
        <v>0</v>
      </c>
    </row>
    <row r="20" spans="1:39" x14ac:dyDescent="0.3">
      <c r="A20">
        <v>15</v>
      </c>
      <c r="B20">
        <v>37</v>
      </c>
      <c r="C20" t="s">
        <v>373</v>
      </c>
      <c r="D20" t="s">
        <v>522</v>
      </c>
      <c r="E20" t="s">
        <v>674</v>
      </c>
      <c r="F20">
        <v>2012</v>
      </c>
      <c r="G20">
        <v>53.34</v>
      </c>
      <c r="H20">
        <v>53.29</v>
      </c>
      <c r="I20" s="5">
        <v>1.2341435185185185E-3</v>
      </c>
      <c r="K20">
        <v>122060</v>
      </c>
      <c r="L20" s="2">
        <f>_xlfn.LET(_xlpm.x,Table127163137496173109115[[#This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6.1736111111111117E-4</v>
      </c>
      <c r="M20" s="3">
        <f>IF(Table127163137496173109115[[#This Row],[run 1 times]]="",999.99,IF(Table127163137496173109115[[#This Row],[run 1 times]]=$S$3,0,MAX(0,ROUND(((Table127163137496173109115[[#This Row],[run 1 times]]-$S$3)/$S$3)*$T$6,2))))</f>
        <v>67.680000000000007</v>
      </c>
      <c r="N20" s="2">
        <f>_xlfn.LET(_xlpm.x,Table127163137496173109115[[#This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6.1678240740740736E-4</v>
      </c>
      <c r="O20" s="3">
        <f>IF(Table127163137496173109115[[#This Row],[run2 times]]="",999.99,IF(Table127163137496173109115[[#This Row],[run2 times]]=$T$3,0,MAX(0,ROUND(((Table127163137496173109115[[#This Row],[run2 times]]-$T$3)/$T$3)*$T$6,2))))</f>
        <v>38.36</v>
      </c>
      <c r="P20" s="2">
        <f>IF(OR(Table127163137496173109115[[#This Row],[run 1 times]]="",Table127163137496173109115[[#This Row],[run2 times]]=""),"",Table127163137496173109115[[#This Row],[run 1 times]]+Table127163137496173109115[[#This Row],[run2 times]])</f>
        <v>1.2341435185185185E-3</v>
      </c>
      <c r="Q20" s="3">
        <f>IF(Table127163137496173109115[[#This Row],[total time]]="",999.99,IF(Table127163137496173109115[[#This Row],[total time]]=$U$3,0,MAX(0,ROUND(((Table127163137496173109115[[#This Row],[total time]]-$U$3)/$U$3)*$T$6,2))))</f>
        <v>50.73</v>
      </c>
      <c r="W20">
        <v>24</v>
      </c>
      <c r="X20">
        <v>86</v>
      </c>
      <c r="Y20" t="s">
        <v>223</v>
      </c>
      <c r="Z20" t="s">
        <v>552</v>
      </c>
      <c r="AA20" t="s">
        <v>756</v>
      </c>
      <c r="AB20">
        <v>2008</v>
      </c>
      <c r="AC20">
        <v>44.48</v>
      </c>
      <c r="AD20">
        <v>47.64</v>
      </c>
      <c r="AE20" s="5">
        <v>1.0662037037037038E-3</v>
      </c>
      <c r="AG20">
        <v>87549</v>
      </c>
      <c r="AH20" s="2">
        <f>_xlfn.LET(_xlpm.x,Table122110193440526476112118[[#This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5.1481481481481474E-4</v>
      </c>
      <c r="AI20" s="3">
        <f>IF(Table122110193440526476112118[[#This Row],[run 1 times]]="",999.99,IF(Table122110193440526476112118[[#This Row],[run 1 times]]=$AO$3,0,MAX(0,ROUND(((Table122110193440526476112118[[#This Row],[run 1 times]]-$AO$3)/$AO$3)*$AP$6,2))))</f>
        <v>12.18</v>
      </c>
      <c r="AJ20" s="2">
        <f>_xlfn.LET(_xlpm.x,Table122110193440526476112118[[#This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5.5138888888888891E-4</v>
      </c>
      <c r="AK20" s="3">
        <f>IF(Table122110193440526476112118[[#This Row],[run2 times]]="",999.99,IF(Table122110193440526476112118[[#This Row],[run2 times]]=$AP$3,0,MAX(0,ROUND(((Table122110193440526476112118[[#This Row],[run2 times]]-$AP$3)/$AP$3)*$AP$6,2))))</f>
        <v>7.48</v>
      </c>
      <c r="AL20" s="2">
        <f>IF(OR(Table122110193440526476112118[[#This Row],[run 1 times]]="",Table122110193440526476112118[[#This Row],[run2 times]]=""),"",Table122110193440526476112118[[#This Row],[run 1 times]]+Table122110193440526476112118[[#This Row],[run2 times]])</f>
        <v>1.0662037037037038E-3</v>
      </c>
      <c r="AM20" s="3">
        <f>IF(Table122110193440526476112118[[#This Row],[total time]]="",999.99,IF(Table122110193440526476112118[[#This Row],[total time]]=$AQ$3,0,MAX(0,ROUND(((Table122110193440526476112118[[#This Row],[total time]]-$AQ$3)/$AQ$3)*$AP$6,2))))</f>
        <v>9.74</v>
      </c>
    </row>
    <row r="21" spans="1:39" x14ac:dyDescent="0.3">
      <c r="A21">
        <v>11</v>
      </c>
      <c r="B21">
        <v>54</v>
      </c>
      <c r="C21" t="s">
        <v>257</v>
      </c>
      <c r="D21" t="s">
        <v>522</v>
      </c>
      <c r="E21" t="s">
        <v>675</v>
      </c>
      <c r="F21">
        <v>2013</v>
      </c>
      <c r="G21">
        <v>56.45</v>
      </c>
      <c r="H21">
        <v>54.39</v>
      </c>
      <c r="I21" s="5">
        <v>1.2828703703703704E-3</v>
      </c>
      <c r="K21">
        <v>117684</v>
      </c>
      <c r="L21" s="2">
        <f>_xlfn.LET(_xlpm.x,Table127163137496173109115[[#This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6.5335648148148154E-4</v>
      </c>
      <c r="M21" s="3">
        <f>IF(Table127163137496173109115[[#This Row],[run 1 times]]="",999.99,IF(Table127163137496173109115[[#This Row],[run 1 times]]=$S$3,0,MAX(0,ROUND(((Table127163137496173109115[[#This Row],[run 1 times]]-$S$3)/$S$3)*$T$6,2))))</f>
        <v>130.52000000000001</v>
      </c>
      <c r="N21" s="2">
        <f>_xlfn.LET(_xlpm.x,Table127163137496173109115[[#This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6.2951388888888887E-4</v>
      </c>
      <c r="O21" s="3">
        <f>IF(Table127163137496173109115[[#This Row],[run2 times]]="",999.99,IF(Table127163137496173109115[[#This Row],[run2 times]]=$T$3,0,MAX(0,ROUND(((Table127163137496173109115[[#This Row],[run2 times]]-$T$3)/$T$3)*$T$6,2))))</f>
        <v>60</v>
      </c>
      <c r="P21" s="2">
        <f>IF(OR(Table127163137496173109115[[#This Row],[run 1 times]]="",Table127163137496173109115[[#This Row],[run2 times]]=""),"",Table127163137496173109115[[#This Row],[run 1 times]]+Table127163137496173109115[[#This Row],[run2 times]])</f>
        <v>1.2828703703703704E-3</v>
      </c>
      <c r="Q21" s="3">
        <f>IF(Table127163137496173109115[[#This Row],[total time]]="",999.99,IF(Table127163137496173109115[[#This Row],[total time]]=$U$3,0,MAX(0,ROUND(((Table127163137496173109115[[#This Row],[total time]]-$U$3)/$U$3)*$T$6,2))))</f>
        <v>92.61</v>
      </c>
      <c r="W21">
        <v>4</v>
      </c>
      <c r="X21">
        <v>90</v>
      </c>
      <c r="Y21" t="s">
        <v>257</v>
      </c>
      <c r="Z21" t="s">
        <v>552</v>
      </c>
      <c r="AA21" t="s">
        <v>763</v>
      </c>
      <c r="AB21">
        <v>2008</v>
      </c>
      <c r="AC21">
        <v>45.29</v>
      </c>
      <c r="AD21">
        <v>48.42</v>
      </c>
      <c r="AE21" s="5">
        <v>1.0846064814814815E-3</v>
      </c>
      <c r="AG21">
        <v>87497</v>
      </c>
      <c r="AH21" s="2">
        <f>_xlfn.LET(_xlpm.x,Table122110193440526476112118[[#This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5.2418981481481479E-4</v>
      </c>
      <c r="AI21" s="3">
        <f>IF(Table122110193440526476112118[[#This Row],[run 1 times]]="",999.99,IF(Table122110193440526476112118[[#This Row],[run 1 times]]=$AO$3,0,MAX(0,ROUND(((Table122110193440526476112118[[#This Row],[run 1 times]]-$AO$3)/$AO$3)*$AP$6,2))))</f>
        <v>30.79</v>
      </c>
      <c r="AJ21" s="2">
        <f>_xlfn.LET(_xlpm.x,Table122110193440526476112118[[#This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5.6041666666666664E-4</v>
      </c>
      <c r="AK21" s="3">
        <f>IF(Table122110193440526476112118[[#This Row],[run2 times]]="",999.99,IF(Table122110193440526476112118[[#This Row],[run2 times]]=$AP$3,0,MAX(0,ROUND(((Table122110193440526476112118[[#This Row],[run2 times]]-$AP$3)/$AP$3)*$AP$6,2))))</f>
        <v>24.13</v>
      </c>
      <c r="AL21" s="2">
        <f>IF(OR(Table122110193440526476112118[[#This Row],[run 1 times]]="",Table122110193440526476112118[[#This Row],[run2 times]]=""),"",Table122110193440526476112118[[#This Row],[run 1 times]]+Table122110193440526476112118[[#This Row],[run2 times]])</f>
        <v>1.0846064814814815E-3</v>
      </c>
      <c r="AM21" s="3">
        <f>IF(Table122110193440526476112118[[#This Row],[total time]]="",999.99,IF(Table122110193440526476112118[[#This Row],[total time]]=$AQ$3,0,MAX(0,ROUND(((Table122110193440526476112118[[#This Row],[total time]]-$AQ$3)/$AQ$3)*$AP$6,2))))</f>
        <v>27.34</v>
      </c>
    </row>
    <row r="22" spans="1:39" x14ac:dyDescent="0.3">
      <c r="A22">
        <v>10</v>
      </c>
      <c r="B22">
        <v>53</v>
      </c>
      <c r="C22" t="s">
        <v>24</v>
      </c>
      <c r="D22" t="s">
        <v>522</v>
      </c>
      <c r="E22" t="s">
        <v>893</v>
      </c>
      <c r="F22">
        <v>2013</v>
      </c>
      <c r="G22">
        <v>57.99</v>
      </c>
      <c r="H22">
        <v>58.08</v>
      </c>
      <c r="I22" s="5">
        <v>1.3434027777777778E-3</v>
      </c>
      <c r="K22">
        <v>102827</v>
      </c>
      <c r="L22" s="2">
        <f>_xlfn.LET(_xlpm.x,Table127163137496173109115[[#This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6.7118055555555561E-4</v>
      </c>
      <c r="M22" s="3">
        <f>IF(Table127163137496173109115[[#This Row],[run 1 times]]="",999.99,IF(Table127163137496173109115[[#This Row],[run 1 times]]=$S$3,0,MAX(0,ROUND(((Table127163137496173109115[[#This Row],[run 1 times]]-$S$3)/$S$3)*$T$6,2))))</f>
        <v>161.63</v>
      </c>
      <c r="N22" s="2">
        <f>_xlfn.LET(_xlpm.x,Table127163137496173109115[[#This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6.7222222222222217E-4</v>
      </c>
      <c r="O22" s="3">
        <f>IF(Table127163137496173109115[[#This Row],[run2 times]]="",999.99,IF(Table127163137496173109115[[#This Row],[run2 times]]=$T$3,0,MAX(0,ROUND(((Table127163137496173109115[[#This Row],[run2 times]]-$T$3)/$T$3)*$T$6,2))))</f>
        <v>132.59</v>
      </c>
      <c r="P22" s="2">
        <f>IF(OR(Table127163137496173109115[[#This Row],[run 1 times]]="",Table127163137496173109115[[#This Row],[run2 times]]=""),"",Table127163137496173109115[[#This Row],[run 1 times]]+Table127163137496173109115[[#This Row],[run2 times]])</f>
        <v>1.3434027777777778E-3</v>
      </c>
      <c r="Q22" s="3">
        <f>IF(Table127163137496173109115[[#This Row],[total time]]="",999.99,IF(Table127163137496173109115[[#This Row],[total time]]=$U$3,0,MAX(0,ROUND(((Table127163137496173109115[[#This Row],[total time]]-$U$3)/$U$3)*$T$6,2))))</f>
        <v>144.63999999999999</v>
      </c>
      <c r="W22">
        <v>23</v>
      </c>
      <c r="X22">
        <v>85</v>
      </c>
      <c r="Y22" t="s">
        <v>257</v>
      </c>
      <c r="Z22" t="s">
        <v>552</v>
      </c>
      <c r="AA22" t="s">
        <v>846</v>
      </c>
      <c r="AB22">
        <v>2009</v>
      </c>
      <c r="AC22">
        <v>46.37</v>
      </c>
      <c r="AD22">
        <v>49.46</v>
      </c>
      <c r="AE22" s="5">
        <v>1.1091435185185184E-3</v>
      </c>
      <c r="AG22">
        <v>108195</v>
      </c>
      <c r="AH22" s="2">
        <f>_xlfn.LET(_xlpm.x,Table122110193440526476112118[[#This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5.3668981481481482E-4</v>
      </c>
      <c r="AI22" s="3">
        <f>IF(Table122110193440526476112118[[#This Row],[run 1 times]]="",999.99,IF(Table122110193440526476112118[[#This Row],[run 1 times]]=$AO$3,0,MAX(0,ROUND(((Table122110193440526476112118[[#This Row],[run 1 times]]-$AO$3)/$AO$3)*$AP$6,2))))</f>
        <v>55.61</v>
      </c>
      <c r="AJ22" s="2">
        <f>_xlfn.LET(_xlpm.x,Table122110193440526476112118[[#This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5.7245370370370371E-4</v>
      </c>
      <c r="AK22" s="3">
        <f>IF(Table122110193440526476112118[[#This Row],[run2 times]]="",999.99,IF(Table122110193440526476112118[[#This Row],[run2 times]]=$AP$3,0,MAX(0,ROUND(((Table122110193440526476112118[[#This Row],[run2 times]]-$AP$3)/$AP$3)*$AP$6,2))))</f>
        <v>46.35</v>
      </c>
      <c r="AL22" s="2">
        <f>IF(OR(Table122110193440526476112118[[#This Row],[run 1 times]]="",Table122110193440526476112118[[#This Row],[run2 times]]=""),"",Table122110193440526476112118[[#This Row],[run 1 times]]+Table122110193440526476112118[[#This Row],[run2 times]])</f>
        <v>1.1091435185185184E-3</v>
      </c>
      <c r="AM22" s="3">
        <f>IF(Table122110193440526476112118[[#This Row],[total time]]="",999.99,IF(Table122110193440526476112118[[#This Row],[total time]]=$AQ$3,0,MAX(0,ROUND(((Table122110193440526476112118[[#This Row],[total time]]-$AQ$3)/$AQ$3)*$AP$6,2))))</f>
        <v>50.81</v>
      </c>
    </row>
    <row r="23" spans="1:39" x14ac:dyDescent="0.3">
      <c r="A23">
        <v>21</v>
      </c>
      <c r="B23">
        <v>43</v>
      </c>
      <c r="C23" t="s">
        <v>373</v>
      </c>
      <c r="D23" t="s">
        <v>522</v>
      </c>
      <c r="E23" t="s">
        <v>684</v>
      </c>
      <c r="F23">
        <v>2013</v>
      </c>
      <c r="G23" s="5">
        <v>7.6817129629629631E-4</v>
      </c>
      <c r="H23" s="5">
        <v>7.5763888888888886E-4</v>
      </c>
      <c r="I23" s="5">
        <v>1.5258101851851854E-3</v>
      </c>
      <c r="K23">
        <v>106162</v>
      </c>
      <c r="L23" s="2">
        <f>_xlfn.LET(_xlpm.x,Table127163137496173109115[[#This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7.6817129629629631E-4</v>
      </c>
      <c r="M23" s="3">
        <f>IF(Table127163137496173109115[[#This Row],[run 1 times]]="",999.99,IF(Table127163137496173109115[[#This Row],[run 1 times]]=$S$3,0,MAX(0,ROUND(((Table127163137496173109115[[#This Row],[run 1 times]]-$S$3)/$S$3)*$T$6,2))))</f>
        <v>330.94</v>
      </c>
      <c r="N23" s="2">
        <f>_xlfn.LET(_xlpm.x,Table127163137496173109115[[#This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7.5763888888888886E-4</v>
      </c>
      <c r="O23" s="3">
        <f>IF(Table127163137496173109115[[#This Row],[run2 times]]="",999.99,IF(Table127163137496173109115[[#This Row],[run2 times]]=$T$3,0,MAX(0,ROUND(((Table127163137496173109115[[#This Row],[run2 times]]-$T$3)/$T$3)*$T$6,2))))</f>
        <v>277.77999999999997</v>
      </c>
      <c r="P23" s="2">
        <f>IF(OR(Table127163137496173109115[[#This Row],[run 1 times]]="",Table127163137496173109115[[#This Row],[run2 times]]=""),"",Table127163137496173109115[[#This Row],[run 1 times]]+Table127163137496173109115[[#This Row],[run2 times]])</f>
        <v>1.5258101851851852E-3</v>
      </c>
      <c r="Q23" s="3">
        <f>IF(Table127163137496173109115[[#This Row],[total time]]="",999.99,IF(Table127163137496173109115[[#This Row],[total time]]=$U$3,0,MAX(0,ROUND(((Table127163137496173109115[[#This Row],[total time]]-$U$3)/$U$3)*$T$6,2))))</f>
        <v>301.42</v>
      </c>
      <c r="W23">
        <v>8</v>
      </c>
      <c r="X23">
        <v>94</v>
      </c>
      <c r="Y23" t="s">
        <v>24</v>
      </c>
      <c r="Z23" t="s">
        <v>552</v>
      </c>
      <c r="AA23" t="s">
        <v>848</v>
      </c>
      <c r="AB23">
        <v>2009</v>
      </c>
      <c r="AC23">
        <v>46.81</v>
      </c>
      <c r="AD23">
        <v>50.19</v>
      </c>
      <c r="AE23" s="5">
        <v>1.1226851851851851E-3</v>
      </c>
      <c r="AG23">
        <v>93748</v>
      </c>
      <c r="AH23" s="2">
        <f>_xlfn.LET(_xlpm.x,Table122110193440526476112118[[#This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5.4178240740740738E-4</v>
      </c>
      <c r="AI23" s="3">
        <f>IF(Table122110193440526476112118[[#This Row],[run 1 times]]="",999.99,IF(Table122110193440526476112118[[#This Row],[run 1 times]]=$AO$3,0,MAX(0,ROUND(((Table122110193440526476112118[[#This Row],[run 1 times]]-$AO$3)/$AO$3)*$AP$6,2))))</f>
        <v>65.72</v>
      </c>
      <c r="AJ23" s="2">
        <f>_xlfn.LET(_xlpm.x,Table122110193440526476112118[[#This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5.8090277777777773E-4</v>
      </c>
      <c r="AK23" s="3">
        <f>IF(Table122110193440526476112118[[#This Row],[run2 times]]="",999.99,IF(Table122110193440526476112118[[#This Row],[run2 times]]=$AP$3,0,MAX(0,ROUND(((Table122110193440526476112118[[#This Row],[run2 times]]-$AP$3)/$AP$3)*$AP$6,2))))</f>
        <v>61.94</v>
      </c>
      <c r="AL23" s="2">
        <f>IF(OR(Table122110193440526476112118[[#This Row],[run 1 times]]="",Table122110193440526476112118[[#This Row],[run2 times]]=""),"",Table122110193440526476112118[[#This Row],[run 1 times]]+Table122110193440526476112118[[#This Row],[run2 times]])</f>
        <v>1.1226851851851851E-3</v>
      </c>
      <c r="AM23" s="3">
        <f>IF(Table122110193440526476112118[[#This Row],[total time]]="",999.99,IF(Table122110193440526476112118[[#This Row],[total time]]=$AQ$3,0,MAX(0,ROUND(((Table122110193440526476112118[[#This Row],[total time]]-$AQ$3)/$AQ$3)*$AP$6,2))))</f>
        <v>63.76</v>
      </c>
    </row>
    <row r="24" spans="1:39" x14ac:dyDescent="0.3">
      <c r="W24">
        <v>17</v>
      </c>
      <c r="X24">
        <v>79</v>
      </c>
      <c r="Y24" t="s">
        <v>223</v>
      </c>
      <c r="Z24" t="s">
        <v>552</v>
      </c>
      <c r="AA24" t="s">
        <v>757</v>
      </c>
      <c r="AB24">
        <v>2007</v>
      </c>
      <c r="AC24">
        <v>47.32</v>
      </c>
      <c r="AD24">
        <v>50.39</v>
      </c>
      <c r="AE24" s="5">
        <v>1.1309027777777778E-3</v>
      </c>
      <c r="AG24">
        <v>126692</v>
      </c>
      <c r="AH24" s="2">
        <f>_xlfn.LET(_xlpm.x,Table122110193440526476112118[[#This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5.4768518518518523E-4</v>
      </c>
      <c r="AI24" s="3">
        <f>IF(Table122110193440526476112118[[#This Row],[run 1 times]]="",999.99,IF(Table122110193440526476112118[[#This Row],[run 1 times]]=$AO$3,0,MAX(0,ROUND(((Table122110193440526476112118[[#This Row],[run 1 times]]-$AO$3)/$AO$3)*$AP$6,2))))</f>
        <v>77.44</v>
      </c>
      <c r="AJ24" s="2">
        <f>_xlfn.LET(_xlpm.x,Table122110193440526476112118[[#This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5.8321759259259264E-4</v>
      </c>
      <c r="AK24" s="3">
        <f>IF(Table122110193440526476112118[[#This Row],[run2 times]]="",999.99,IF(Table122110193440526476112118[[#This Row],[run2 times]]=$AP$3,0,MAX(0,ROUND(((Table122110193440526476112118[[#This Row],[run2 times]]-$AP$3)/$AP$3)*$AP$6,2))))</f>
        <v>66.209999999999994</v>
      </c>
      <c r="AL24" s="2">
        <f>IF(OR(Table122110193440526476112118[[#This Row],[run 1 times]]="",Table122110193440526476112118[[#This Row],[run2 times]]=""),"",Table122110193440526476112118[[#This Row],[run 1 times]]+Table122110193440526476112118[[#This Row],[run2 times]])</f>
        <v>1.130902777777778E-3</v>
      </c>
      <c r="AM24" s="3">
        <f>IF(Table122110193440526476112118[[#This Row],[total time]]="",999.99,IF(Table122110193440526476112118[[#This Row],[total time]]=$AQ$3,0,MAX(0,ROUND(((Table122110193440526476112118[[#This Row],[total time]]-$AQ$3)/$AQ$3)*$AP$6,2))))</f>
        <v>71.62</v>
      </c>
    </row>
    <row r="25" spans="1:39" x14ac:dyDescent="0.3">
      <c r="W25">
        <v>7</v>
      </c>
      <c r="X25">
        <v>93</v>
      </c>
      <c r="Y25" t="s">
        <v>373</v>
      </c>
      <c r="Z25" t="s">
        <v>552</v>
      </c>
      <c r="AA25" t="s">
        <v>748</v>
      </c>
      <c r="AB25">
        <v>2008</v>
      </c>
      <c r="AC25">
        <v>48.08</v>
      </c>
      <c r="AD25">
        <v>51.69</v>
      </c>
      <c r="AE25" s="5">
        <v>1.1547453703703704E-3</v>
      </c>
      <c r="AG25">
        <v>127962</v>
      </c>
      <c r="AH25" s="2">
        <f>_xlfn.LET(_xlpm.x,Table122110193440526476112118[[#This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5.5648148148148148E-4</v>
      </c>
      <c r="AI25" s="3">
        <f>IF(Table122110193440526476112118[[#This Row],[run 1 times]]="",999.99,IF(Table122110193440526476112118[[#This Row],[run 1 times]]=$AO$3,0,MAX(0,ROUND(((Table122110193440526476112118[[#This Row],[run 1 times]]-$AO$3)/$AO$3)*$AP$6,2))))</f>
        <v>94.91</v>
      </c>
      <c r="AJ25" s="2">
        <f>_xlfn.LET(_xlpm.x,Table122110193440526476112118[[#This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5.9826388888888885E-4</v>
      </c>
      <c r="AK25" s="3">
        <f>IF(Table122110193440526476112118[[#This Row],[run2 times]]="",999.99,IF(Table122110193440526476112118[[#This Row],[run2 times]]=$AP$3,0,MAX(0,ROUND(((Table122110193440526476112118[[#This Row],[run2 times]]-$AP$3)/$AP$3)*$AP$6,2))))</f>
        <v>93.97</v>
      </c>
      <c r="AL25" s="2">
        <f>IF(OR(Table122110193440526476112118[[#This Row],[run 1 times]]="",Table122110193440526476112118[[#This Row],[run2 times]]=""),"",Table122110193440526476112118[[#This Row],[run 1 times]]+Table122110193440526476112118[[#This Row],[run2 times]])</f>
        <v>1.1547453703703702E-3</v>
      </c>
      <c r="AM25" s="3">
        <f>IF(Table122110193440526476112118[[#This Row],[total time]]="",999.99,IF(Table122110193440526476112118[[#This Row],[total time]]=$AQ$3,0,MAX(0,ROUND(((Table122110193440526476112118[[#This Row],[total time]]-$AQ$3)/$AQ$3)*$AP$6,2))))</f>
        <v>94.42</v>
      </c>
    </row>
    <row r="26" spans="1:39" x14ac:dyDescent="0.3">
      <c r="W26">
        <v>22</v>
      </c>
      <c r="X26">
        <v>84</v>
      </c>
      <c r="Y26" t="s">
        <v>24</v>
      </c>
      <c r="Z26" t="s">
        <v>552</v>
      </c>
      <c r="AA26" t="s">
        <v>749</v>
      </c>
      <c r="AB26">
        <v>2009</v>
      </c>
      <c r="AC26" t="s">
        <v>512</v>
      </c>
      <c r="AD26">
        <v>50.75</v>
      </c>
      <c r="AG26">
        <v>104657</v>
      </c>
      <c r="AH26" s="2" t="str">
        <f>_xlfn.LET(_xlpm.x,Table122110193440526476112118[[#This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26" s="3">
        <f>IF(Table122110193440526476112118[[#This Row],[run 1 times]]="",999.99,IF(Table122110193440526476112118[[#This Row],[run 1 times]]=$AO$3,0,MAX(0,ROUND(((Table122110193440526476112118[[#This Row],[run 1 times]]-$AO$3)/$AO$3)*$AP$6,2))))</f>
        <v>999.99</v>
      </c>
      <c r="AJ26" s="2">
        <f>_xlfn.LET(_xlpm.x,Table122110193440526476112118[[#This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5.8738425925925928E-4</v>
      </c>
      <c r="AK26" s="3">
        <f>IF(Table122110193440526476112118[[#This Row],[run2 times]]="",999.99,IF(Table122110193440526476112118[[#This Row],[run2 times]]=$AP$3,0,MAX(0,ROUND(((Table122110193440526476112118[[#This Row],[run2 times]]-$AP$3)/$AP$3)*$AP$6,2))))</f>
        <v>73.900000000000006</v>
      </c>
      <c r="AL26" s="2" t="str">
        <f>IF(OR(Table122110193440526476112118[[#This Row],[run 1 times]]="",Table122110193440526476112118[[#This Row],[run2 times]]=""),"",Table122110193440526476112118[[#This Row],[run 1 times]]+Table122110193440526476112118[[#This Row],[run2 times]])</f>
        <v/>
      </c>
      <c r="AM26" s="3">
        <f>IF(Table122110193440526476112118[[#This Row],[total time]]="",999.99,IF(Table122110193440526476112118[[#This Row],[total time]]=$AQ$3,0,MAX(0,ROUND(((Table122110193440526476112118[[#This Row],[total time]]-$AQ$3)/$AQ$3)*$AP$6,2))))</f>
        <v>999.99</v>
      </c>
    </row>
  </sheetData>
  <mergeCells count="2">
    <mergeCell ref="A1:U1"/>
    <mergeCell ref="W1:AQ1"/>
  </mergeCells>
  <pageMargins left="0.7" right="0.7" top="0.75" bottom="0.75" header="0.3" footer="0.3"/>
  <tableParts count="6">
    <tablePart r:id="rId1"/>
    <tablePart r:id="rId2"/>
    <tablePart r:id="rId3"/>
    <tablePart r:id="rId4"/>
    <tablePart r:id="rId5"/>
    <tablePart r:id="rId6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810C62-5761-4E3E-A59F-B9411354E8E7}">
  <dimension ref="A1:AQ35"/>
  <sheetViews>
    <sheetView workbookViewId="0">
      <selection activeCell="W29" sqref="W29"/>
    </sheetView>
  </sheetViews>
  <sheetFormatPr defaultRowHeight="14.4" x14ac:dyDescent="0.3"/>
  <cols>
    <col min="1" max="1" width="13.5546875" customWidth="1"/>
    <col min="3" max="3" width="12.109375" customWidth="1"/>
    <col min="5" max="5" width="14.88671875" bestFit="1" customWidth="1"/>
    <col min="6" max="6" width="12.5546875" customWidth="1"/>
    <col min="7" max="7" width="15.21875" customWidth="1"/>
    <col min="8" max="8" width="17.6640625" customWidth="1"/>
    <col min="9" max="9" width="16.44140625" customWidth="1"/>
    <col min="10" max="10" width="12.21875" customWidth="1"/>
    <col min="11" max="11" width="13.109375" customWidth="1"/>
    <col min="12" max="12" width="11.6640625" customWidth="1"/>
    <col min="13" max="13" width="12.109375" customWidth="1"/>
    <col min="14" max="14" width="11.33203125" customWidth="1"/>
    <col min="15" max="15" width="12.109375" customWidth="1"/>
    <col min="16" max="16" width="10.33203125" customWidth="1"/>
    <col min="17" max="17" width="13.88671875" customWidth="1"/>
    <col min="19" max="19" width="14.5546875" customWidth="1"/>
    <col min="20" max="20" width="15.5546875" customWidth="1"/>
    <col min="21" max="21" width="18.5546875" customWidth="1"/>
  </cols>
  <sheetData>
    <row r="1" spans="1:43" ht="21" x14ac:dyDescent="0.4">
      <c r="A1" s="8" t="s">
        <v>593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W1" s="8" t="s">
        <v>591</v>
      </c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</row>
    <row r="2" spans="1:43" x14ac:dyDescent="0.3">
      <c r="A2" t="s">
        <v>459</v>
      </c>
      <c r="B2" t="s">
        <v>460</v>
      </c>
      <c r="C2" t="s">
        <v>461</v>
      </c>
      <c r="D2" t="s">
        <v>462</v>
      </c>
      <c r="E2" t="s">
        <v>463</v>
      </c>
      <c r="F2" t="s">
        <v>464</v>
      </c>
      <c r="G2" t="s">
        <v>465</v>
      </c>
      <c r="H2" t="s">
        <v>466</v>
      </c>
      <c r="I2" t="s">
        <v>467</v>
      </c>
      <c r="J2" t="s">
        <v>468</v>
      </c>
      <c r="K2" t="s">
        <v>469</v>
      </c>
      <c r="L2" t="s">
        <v>470</v>
      </c>
      <c r="M2" t="s">
        <v>471</v>
      </c>
      <c r="N2" t="s">
        <v>472</v>
      </c>
      <c r="O2" t="s">
        <v>473</v>
      </c>
      <c r="P2" t="s">
        <v>474</v>
      </c>
      <c r="Q2" t="s">
        <v>475</v>
      </c>
      <c r="S2" t="s">
        <v>476</v>
      </c>
      <c r="T2" t="s">
        <v>477</v>
      </c>
      <c r="U2" t="s">
        <v>478</v>
      </c>
      <c r="W2" t="s">
        <v>459</v>
      </c>
      <c r="X2" t="s">
        <v>460</v>
      </c>
      <c r="Y2" t="s">
        <v>461</v>
      </c>
      <c r="Z2" t="s">
        <v>462</v>
      </c>
      <c r="AA2" t="s">
        <v>463</v>
      </c>
      <c r="AB2" t="s">
        <v>464</v>
      </c>
      <c r="AC2" t="s">
        <v>465</v>
      </c>
      <c r="AD2" t="s">
        <v>466</v>
      </c>
      <c r="AE2" t="s">
        <v>467</v>
      </c>
      <c r="AF2" t="s">
        <v>468</v>
      </c>
      <c r="AG2" t="s">
        <v>469</v>
      </c>
      <c r="AH2" t="s">
        <v>470</v>
      </c>
      <c r="AI2" t="s">
        <v>471</v>
      </c>
      <c r="AJ2" t="s">
        <v>472</v>
      </c>
      <c r="AK2" t="s">
        <v>473</v>
      </c>
      <c r="AL2" t="s">
        <v>474</v>
      </c>
      <c r="AM2" t="s">
        <v>475</v>
      </c>
      <c r="AO2" t="s">
        <v>476</v>
      </c>
      <c r="AP2" t="s">
        <v>477</v>
      </c>
      <c r="AQ2" t="s">
        <v>478</v>
      </c>
    </row>
    <row r="3" spans="1:43" x14ac:dyDescent="0.3">
      <c r="A3">
        <v>8</v>
      </c>
      <c r="B3">
        <v>8</v>
      </c>
      <c r="C3" t="s">
        <v>24</v>
      </c>
      <c r="D3" t="s">
        <v>522</v>
      </c>
      <c r="E3" t="s">
        <v>524</v>
      </c>
      <c r="F3">
        <v>2012</v>
      </c>
      <c r="G3">
        <v>46.5</v>
      </c>
      <c r="H3">
        <v>51.84</v>
      </c>
      <c r="I3" s="5">
        <v>1.1377314814814815E-3</v>
      </c>
      <c r="K3">
        <v>93755</v>
      </c>
      <c r="L3" s="2">
        <f>_xlfn.LET(_xlpm.x,Table127163143556779[[#This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5.3819444444444444E-4</v>
      </c>
      <c r="M3" s="3">
        <f>IF(Table127163143556779[[#This Row],[run 1 times]]="",999.99,IF(Table127163143556779[[#This Row],[run 1 times]]=$S$3,0,MAX(0,ROUND(((Table127163143556779[[#This Row],[run 1 times]]-$S$3)/$S$3)*$S$6,2))))</f>
        <v>1.42</v>
      </c>
      <c r="N3" s="2">
        <f>_xlfn.LET(_xlpm.x,Table127163143556779[[#This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6.0000000000000006E-4</v>
      </c>
      <c r="O3" s="3">
        <f>IF(Table127163143556779[[#This Row],[run2 times]]="",999.99,IF(Table127163143556779[[#This Row],[run2 times]]=$T$3,0,MAX(0,ROUND(((Table127163143556779[[#This Row],[run2 times]]-$T$3)/$T$3)*$S$6,2))))</f>
        <v>4.68</v>
      </c>
      <c r="P3" s="2">
        <f>IF(OR(Table127163143556779[[#This Row],[run 1 times]]="",Table127163143556779[[#This Row],[run2 times]]=""),"",Table127163143556779[[#This Row],[run 1 times]]+Table127163143556779[[#This Row],[run2 times]])</f>
        <v>1.1381944444444445E-3</v>
      </c>
      <c r="Q3" s="3">
        <f>IF(Table127163143556779[[#This Row],[total time]]="",999.99,IF(Table127163143556779[[#This Row],[total time]]=$U$3,0,MAX(0,ROUND(((Table127163143556779[[#This Row],[total time]]-$U$3)/$U$3)*$S$6,2))))</f>
        <v>0</v>
      </c>
      <c r="S3" s="1">
        <f>MIN(Table127163143556779[run 1 times])</f>
        <v>5.3715277777777778E-4</v>
      </c>
      <c r="T3" s="1">
        <f>MIN(Table127163143556779[run2 times])</f>
        <v>5.9618055555555553E-4</v>
      </c>
      <c r="U3" s="1">
        <f>MIN(Table127163143556779[total time])</f>
        <v>1.1381944444444445E-3</v>
      </c>
      <c r="W3">
        <v>13</v>
      </c>
      <c r="X3">
        <v>67</v>
      </c>
      <c r="Y3" t="s">
        <v>24</v>
      </c>
      <c r="Z3" t="s">
        <v>547</v>
      </c>
      <c r="AA3" t="s">
        <v>565</v>
      </c>
      <c r="AB3">
        <v>2011</v>
      </c>
      <c r="AC3">
        <v>53.19</v>
      </c>
      <c r="AD3">
        <v>53.65</v>
      </c>
      <c r="AE3" s="5">
        <v>1.2365740740740742E-3</v>
      </c>
      <c r="AG3">
        <v>89752</v>
      </c>
      <c r="AH3" s="2">
        <f>_xlfn.LET(_xlpm.x,Table122110193446587082[[#This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6.1562499999999996E-4</v>
      </c>
      <c r="AI3" s="3">
        <f>IF(Table122110193446587082[[#This Row],[run 1 times]]="",999.99,IF(Table122110193446587082[[#This Row],[run 1 times]]=$AO$3,0,MAX(0,ROUND(((Table122110193446587082[[#This Row],[run 1 times]]-$AO$3)/$AO$3)*$AO$6,2))))</f>
        <v>60.81</v>
      </c>
      <c r="AJ3" s="2">
        <f>_xlfn.LET(_xlpm.x,Table122110193446587082[[#This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6.2094907407407411E-4</v>
      </c>
      <c r="AK3" s="3">
        <f>IF(Table122110193446587082[[#This Row],[run2 times]]="",999.99,IF(Table122110193446587082[[#This Row],[run2 times]]=$AP$3,0,MAX(0,ROUND(((Table122110193446587082[[#This Row],[run2 times]]-$AP$3)/$AP$3)*$AO$6,2))))</f>
        <v>43.54</v>
      </c>
      <c r="AL3" s="2">
        <f>IF(OR(Table122110193446587082[[#This Row],[run 1 times]]="",Table122110193446587082[[#This Row],[run2 times]]=""),"",Table122110193446587082[[#This Row],[run 1 times]]+Table122110193446587082[[#This Row],[run2 times]])</f>
        <v>1.236574074074074E-3</v>
      </c>
      <c r="AM3" s="3">
        <f>IF(Table122110193446587082[[#This Row],[total time]]="",999.99,IF(Table122110193446587082[[#This Row],[total time]]=$AQ$3,0,MAX(0,ROUND(((Table122110193446587082[[#This Row],[total time]]-$AQ$3)/$AQ$3)*$AO$6,2))))</f>
        <v>34.19</v>
      </c>
      <c r="AO3" s="1">
        <f>MIN(Table122110193446587082[run 1 times])</f>
        <v>5.6828703703703707E-4</v>
      </c>
      <c r="AP3" s="1">
        <f>MIN(Table122110193446587082[run2 times])</f>
        <v>5.859953703703704E-4</v>
      </c>
      <c r="AQ3" s="1">
        <f>MIN(Table122110193446587082[total time])</f>
        <v>1.18125E-3</v>
      </c>
    </row>
    <row r="4" spans="1:43" x14ac:dyDescent="0.3">
      <c r="A4">
        <v>22</v>
      </c>
      <c r="B4">
        <v>22</v>
      </c>
      <c r="C4" t="s">
        <v>24</v>
      </c>
      <c r="D4" t="s">
        <v>522</v>
      </c>
      <c r="E4" t="s">
        <v>525</v>
      </c>
      <c r="F4">
        <v>2012</v>
      </c>
      <c r="G4">
        <v>46.41</v>
      </c>
      <c r="H4">
        <v>52</v>
      </c>
      <c r="I4" s="5">
        <v>1.1388888888888889E-3</v>
      </c>
      <c r="K4">
        <v>93740</v>
      </c>
      <c r="L4" s="2">
        <f>_xlfn.LET(_xlpm.x,Table127163143556779[[#This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5.3715277777777778E-4</v>
      </c>
      <c r="M4" s="3">
        <f>IF(Table127163143556779[[#This Row],[run 1 times]]="",999.99,IF(Table127163143556779[[#This Row],[run 1 times]]=$S$3,0,MAX(0,ROUND(((Table127163143556779[[#This Row],[run 1 times]]-$S$3)/$S$3)*$S$6,2))))</f>
        <v>0</v>
      </c>
      <c r="N4" s="2">
        <f>_xlfn.LET(_xlpm.x,Table127163143556779[[#This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6.018518518518519E-4</v>
      </c>
      <c r="O4" s="3">
        <f>IF(Table127163143556779[[#This Row],[run2 times]]="",999.99,IF(Table127163143556779[[#This Row],[run2 times]]=$T$3,0,MAX(0,ROUND(((Table127163143556779[[#This Row],[run2 times]]-$T$3)/$T$3)*$S$6,2))))</f>
        <v>6.94</v>
      </c>
      <c r="P4" s="2">
        <f>IF(OR(Table127163143556779[[#This Row],[run 1 times]]="",Table127163143556779[[#This Row],[run2 times]]=""),"",Table127163143556779[[#This Row],[run 1 times]]+Table127163143556779[[#This Row],[run2 times]])</f>
        <v>1.1390046296296296E-3</v>
      </c>
      <c r="Q4" s="3">
        <f>IF(Table127163143556779[[#This Row],[total time]]="",999.99,IF(Table127163143556779[[#This Row],[total time]]=$U$3,0,MAX(0,ROUND(((Table127163143556779[[#This Row],[total time]]-$U$3)/$U$3)*$S$6,2))))</f>
        <v>0.52</v>
      </c>
      <c r="W4">
        <v>16</v>
      </c>
      <c r="X4">
        <v>70</v>
      </c>
      <c r="Y4" t="s">
        <v>373</v>
      </c>
      <c r="Z4" t="s">
        <v>547</v>
      </c>
      <c r="AA4" t="s">
        <v>548</v>
      </c>
      <c r="AB4">
        <v>2011</v>
      </c>
      <c r="AC4">
        <v>54.64</v>
      </c>
      <c r="AD4">
        <v>57.46</v>
      </c>
      <c r="AE4" s="5">
        <v>1.2974537037037037E-3</v>
      </c>
      <c r="AG4">
        <v>94824</v>
      </c>
      <c r="AH4" s="2">
        <f>_xlfn.LET(_xlpm.x,Table122110193446587082[[#This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6.3240740740740738E-4</v>
      </c>
      <c r="AI4" s="3">
        <f>IF(Table122110193446587082[[#This Row],[run 1 times]]="",999.99,IF(Table122110193446587082[[#This Row],[run 1 times]]=$AO$3,0,MAX(0,ROUND(((Table122110193446587082[[#This Row],[run 1 times]]-$AO$3)/$AO$3)*$AO$6,2))))</f>
        <v>82.37</v>
      </c>
      <c r="AJ4" s="2">
        <f>_xlfn.LET(_xlpm.x,Table122110193446587082[[#This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6.6504629629629628E-4</v>
      </c>
      <c r="AK4" s="3">
        <f>IF(Table122110193446587082[[#This Row],[run2 times]]="",999.99,IF(Table122110193446587082[[#This Row],[run2 times]]=$AP$3,0,MAX(0,ROUND(((Table122110193446587082[[#This Row],[run2 times]]-$AP$3)/$AP$3)*$AO$6,2))))</f>
        <v>98.48</v>
      </c>
      <c r="AL4" s="2">
        <f>IF(OR(Table122110193446587082[[#This Row],[run 1 times]]="",Table122110193446587082[[#This Row],[run2 times]]=""),"",Table122110193446587082[[#This Row],[run 1 times]]+Table122110193446587082[[#This Row],[run2 times]])</f>
        <v>1.2974537037037037E-3</v>
      </c>
      <c r="AM4" s="3">
        <f>IF(Table122110193446587082[[#This Row],[total time]]="",999.99,IF(Table122110193446587082[[#This Row],[total time]]=$AQ$3,0,MAX(0,ROUND(((Table122110193446587082[[#This Row],[total time]]-$AQ$3)/$AQ$3)*$AO$6,2))))</f>
        <v>71.81</v>
      </c>
    </row>
    <row r="5" spans="1:43" x14ac:dyDescent="0.3">
      <c r="A5">
        <v>33</v>
      </c>
      <c r="B5">
        <v>33</v>
      </c>
      <c r="C5" t="s">
        <v>24</v>
      </c>
      <c r="D5" t="s">
        <v>522</v>
      </c>
      <c r="E5" t="s">
        <v>527</v>
      </c>
      <c r="F5">
        <v>2012</v>
      </c>
      <c r="G5">
        <v>47.2</v>
      </c>
      <c r="H5">
        <v>51.51</v>
      </c>
      <c r="I5" s="5">
        <v>1.1423611111111111E-3</v>
      </c>
      <c r="K5">
        <v>93762</v>
      </c>
      <c r="L5" s="2">
        <f>_xlfn.LET(_xlpm.x,Table127163143556779[[#This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5.4629629629629635E-4</v>
      </c>
      <c r="M5" s="3">
        <f>IF(Table127163143556779[[#This Row],[run 1 times]]="",999.99,IF(Table127163143556779[[#This Row],[run 1 times]]=$S$3,0,MAX(0,ROUND(((Table127163143556779[[#This Row],[run 1 times]]-$S$3)/$S$3)*$S$6,2))))</f>
        <v>12.43</v>
      </c>
      <c r="N5" s="2">
        <f>_xlfn.LET(_xlpm.x,Table127163143556779[[#This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5.9618055555555553E-4</v>
      </c>
      <c r="O5" s="3">
        <f>IF(Table127163143556779[[#This Row],[run2 times]]="",999.99,IF(Table127163143556779[[#This Row],[run2 times]]=$T$3,0,MAX(0,ROUND(((Table127163143556779[[#This Row],[run2 times]]-$T$3)/$T$3)*$S$6,2))))</f>
        <v>0</v>
      </c>
      <c r="P5" s="2">
        <f>IF(OR(Table127163143556779[[#This Row],[run 1 times]]="",Table127163143556779[[#This Row],[run2 times]]=""),"",Table127163143556779[[#This Row],[run 1 times]]+Table127163143556779[[#This Row],[run2 times]])</f>
        <v>1.142476851851852E-3</v>
      </c>
      <c r="Q5" s="3">
        <f>IF(Table127163143556779[[#This Row],[total time]]="",999.99,IF(Table127163143556779[[#This Row],[total time]]=$U$3,0,MAX(0,ROUND(((Table127163143556779[[#This Row],[total time]]-$U$3)/$U$3)*$S$6,2))))</f>
        <v>2.75</v>
      </c>
      <c r="S5" t="s">
        <v>484</v>
      </c>
      <c r="T5" t="s">
        <v>485</v>
      </c>
      <c r="U5" t="s">
        <v>486</v>
      </c>
      <c r="W5">
        <v>6</v>
      </c>
      <c r="X5">
        <v>60</v>
      </c>
      <c r="Y5" t="s">
        <v>257</v>
      </c>
      <c r="Z5" t="s">
        <v>547</v>
      </c>
      <c r="AA5" t="s">
        <v>576</v>
      </c>
      <c r="AB5">
        <v>2010</v>
      </c>
      <c r="AC5">
        <v>54.96</v>
      </c>
      <c r="AD5">
        <v>57.36</v>
      </c>
      <c r="AE5" s="5">
        <v>1.2999999999999999E-3</v>
      </c>
      <c r="AG5">
        <v>92169</v>
      </c>
      <c r="AH5" s="2">
        <f>_xlfn.LET(_xlpm.x,Table122110193446587082[[#This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6.3611111111111117E-4</v>
      </c>
      <c r="AI5" s="3">
        <f>IF(Table122110193446587082[[#This Row],[run 1 times]]="",999.99,IF(Table122110193446587082[[#This Row],[run 1 times]]=$AO$3,0,MAX(0,ROUND(((Table122110193446587082[[#This Row],[run 1 times]]-$AO$3)/$AO$3)*$AO$6,2))))</f>
        <v>87.12</v>
      </c>
      <c r="AJ5" s="2">
        <f>_xlfn.LET(_xlpm.x,Table122110193446587082[[#This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6.6388888888888888E-4</v>
      </c>
      <c r="AK5" s="3">
        <f>IF(Table122110193446587082[[#This Row],[run2 times]]="",999.99,IF(Table122110193446587082[[#This Row],[run2 times]]=$AP$3,0,MAX(0,ROUND(((Table122110193446587082[[#This Row],[run2 times]]-$AP$3)/$AP$3)*$AO$6,2))))</f>
        <v>97.04</v>
      </c>
      <c r="AL5" s="2">
        <f>IF(OR(Table122110193446587082[[#This Row],[run 1 times]]="",Table122110193446587082[[#This Row],[run2 times]]=""),"",Table122110193446587082[[#This Row],[run 1 times]]+Table122110193446587082[[#This Row],[run2 times]])</f>
        <v>1.2999999999999999E-3</v>
      </c>
      <c r="AM5" s="3">
        <f>IF(Table122110193446587082[[#This Row],[total time]]="",999.99,IF(Table122110193446587082[[#This Row],[total time]]=$AQ$3,0,MAX(0,ROUND(((Table122110193446587082[[#This Row],[total time]]-$AQ$3)/$AQ$3)*$AO$6,2))))</f>
        <v>73.39</v>
      </c>
      <c r="AO5" t="s">
        <v>484</v>
      </c>
      <c r="AP5" t="s">
        <v>485</v>
      </c>
      <c r="AQ5" t="s">
        <v>486</v>
      </c>
    </row>
    <row r="6" spans="1:43" x14ac:dyDescent="0.3">
      <c r="A6">
        <v>21</v>
      </c>
      <c r="B6">
        <v>21</v>
      </c>
      <c r="C6" t="s">
        <v>24</v>
      </c>
      <c r="D6" t="s">
        <v>522</v>
      </c>
      <c r="E6" t="s">
        <v>529</v>
      </c>
      <c r="F6">
        <v>2013</v>
      </c>
      <c r="G6">
        <v>48.05</v>
      </c>
      <c r="H6">
        <v>52.05</v>
      </c>
      <c r="I6" s="5">
        <v>1.1585648148148147E-3</v>
      </c>
      <c r="K6">
        <v>93764</v>
      </c>
      <c r="L6" s="2">
        <f>_xlfn.LET(_xlpm.x,Table127163143556779[[#This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5.5613425925925926E-4</v>
      </c>
      <c r="M6" s="3">
        <f>IF(Table127163143556779[[#This Row],[run 1 times]]="",999.99,IF(Table127163143556779[[#This Row],[run 1 times]]=$S$3,0,MAX(0,ROUND(((Table127163143556779[[#This Row],[run 1 times]]-$S$3)/$S$3)*$S$6,2))))</f>
        <v>25.8</v>
      </c>
      <c r="N6" s="2">
        <f>_xlfn.LET(_xlpm.x,Table127163143556779[[#This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6.0243055555555549E-4</v>
      </c>
      <c r="O6" s="3">
        <f>IF(Table127163143556779[[#This Row],[run2 times]]="",999.99,IF(Table127163143556779[[#This Row],[run2 times]]=$T$3,0,MAX(0,ROUND(((Table127163143556779[[#This Row],[run2 times]]-$T$3)/$T$3)*$S$6,2))))</f>
        <v>7.65</v>
      </c>
      <c r="P6" s="2">
        <f>IF(OR(Table127163143556779[[#This Row],[run 1 times]]="",Table127163143556779[[#This Row],[run2 times]]=""),"",Table127163143556779[[#This Row],[run 1 times]]+Table127163143556779[[#This Row],[run2 times]])</f>
        <v>1.1585648148148147E-3</v>
      </c>
      <c r="Q6" s="3">
        <f>IF(Table127163143556779[[#This Row],[total time]]="",999.99,IF(Table127163143556779[[#This Row],[total time]]=$U$3,0,MAX(0,ROUND(((Table127163143556779[[#This Row],[total time]]-$U$3)/$U$3)*$S$6,2))))</f>
        <v>13.06</v>
      </c>
      <c r="S6">
        <v>730</v>
      </c>
      <c r="T6">
        <v>1010</v>
      </c>
      <c r="U6">
        <v>1190</v>
      </c>
      <c r="W6">
        <v>18</v>
      </c>
      <c r="X6">
        <v>72</v>
      </c>
      <c r="Y6" t="s">
        <v>24</v>
      </c>
      <c r="Z6" t="s">
        <v>547</v>
      </c>
      <c r="AA6" t="s">
        <v>568</v>
      </c>
      <c r="AB6">
        <v>2010</v>
      </c>
      <c r="AC6">
        <v>55.61</v>
      </c>
      <c r="AD6">
        <v>57.99</v>
      </c>
      <c r="AE6" s="5">
        <v>1.3148148148148147E-3</v>
      </c>
      <c r="AG6">
        <v>104647</v>
      </c>
      <c r="AH6" s="2">
        <f>_xlfn.LET(_xlpm.x,Table122110193446587082[[#This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6.4363425925925927E-4</v>
      </c>
      <c r="AI6" s="3">
        <f>IF(Table122110193446587082[[#This Row],[run 1 times]]="",999.99,IF(Table122110193446587082[[#This Row],[run 1 times]]=$AO$3,0,MAX(0,ROUND(((Table122110193446587082[[#This Row],[run 1 times]]-$AO$3)/$AO$3)*$AO$6,2))))</f>
        <v>96.79</v>
      </c>
      <c r="AJ6" s="2">
        <f>_xlfn.LET(_xlpm.x,Table122110193446587082[[#This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6.7118055555555561E-4</v>
      </c>
      <c r="AK6" s="3">
        <f>IF(Table122110193446587082[[#This Row],[run2 times]]="",999.99,IF(Table122110193446587082[[#This Row],[run2 times]]=$AP$3,0,MAX(0,ROUND(((Table122110193446587082[[#This Row],[run2 times]]-$AP$3)/$AP$3)*$AO$6,2))))</f>
        <v>106.12</v>
      </c>
      <c r="AL6" s="2">
        <f>IF(OR(Table122110193446587082[[#This Row],[run 1 times]]="",Table122110193446587082[[#This Row],[run2 times]]=""),"",Table122110193446587082[[#This Row],[run 1 times]]+Table122110193446587082[[#This Row],[run2 times]])</f>
        <v>1.3148148148148149E-3</v>
      </c>
      <c r="AM6" s="3">
        <f>IF(Table122110193446587082[[#This Row],[total time]]="",999.99,IF(Table122110193446587082[[#This Row],[total time]]=$AQ$3,0,MAX(0,ROUND(((Table122110193446587082[[#This Row],[total time]]-$AQ$3)/$AQ$3)*$AO$6,2))))</f>
        <v>82.54</v>
      </c>
      <c r="AO6">
        <v>730</v>
      </c>
      <c r="AP6">
        <v>1010</v>
      </c>
      <c r="AQ6">
        <v>1190</v>
      </c>
    </row>
    <row r="7" spans="1:43" x14ac:dyDescent="0.3">
      <c r="A7">
        <v>26</v>
      </c>
      <c r="B7">
        <v>26</v>
      </c>
      <c r="C7" t="s">
        <v>223</v>
      </c>
      <c r="D7" t="s">
        <v>522</v>
      </c>
      <c r="E7" t="s">
        <v>538</v>
      </c>
      <c r="F7">
        <v>2012</v>
      </c>
      <c r="G7">
        <v>48.69</v>
      </c>
      <c r="H7">
        <v>52.17</v>
      </c>
      <c r="I7" s="5">
        <v>1.1678240740740742E-3</v>
      </c>
      <c r="K7">
        <v>102457</v>
      </c>
      <c r="L7" s="2">
        <f>_xlfn.LET(_xlpm.x,Table127163143556779[[#This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5.6354166666666662E-4</v>
      </c>
      <c r="M7" s="3">
        <f>IF(Table127163143556779[[#This Row],[run 1 times]]="",999.99,IF(Table127163143556779[[#This Row],[run 1 times]]=$S$3,0,MAX(0,ROUND(((Table127163143556779[[#This Row],[run 1 times]]-$S$3)/$S$3)*$S$6,2))))</f>
        <v>35.86</v>
      </c>
      <c r="N7" s="2">
        <f>_xlfn.LET(_xlpm.x,Table127163143556779[[#This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6.0381944444444448E-4</v>
      </c>
      <c r="O7" s="3">
        <f>IF(Table127163143556779[[#This Row],[run2 times]]="",999.99,IF(Table127163143556779[[#This Row],[run2 times]]=$T$3,0,MAX(0,ROUND(((Table127163143556779[[#This Row],[run2 times]]-$T$3)/$T$3)*$S$6,2))))</f>
        <v>9.35</v>
      </c>
      <c r="P7" s="2">
        <f>IF(OR(Table127163143556779[[#This Row],[run 1 times]]="",Table127163143556779[[#This Row],[run2 times]]=""),"",Table127163143556779[[#This Row],[run 1 times]]+Table127163143556779[[#This Row],[run2 times]])</f>
        <v>1.1673611111111112E-3</v>
      </c>
      <c r="Q7" s="3">
        <f>IF(Table127163143556779[[#This Row],[total time]]="",999.99,IF(Table127163143556779[[#This Row],[total time]]=$U$3,0,MAX(0,ROUND(((Table127163143556779[[#This Row],[total time]]-$U$3)/$U$3)*$S$6,2))))</f>
        <v>18.71</v>
      </c>
      <c r="W7">
        <v>2</v>
      </c>
      <c r="X7">
        <v>56</v>
      </c>
      <c r="Y7" t="s">
        <v>373</v>
      </c>
      <c r="Z7" t="s">
        <v>547</v>
      </c>
      <c r="AA7" t="s">
        <v>550</v>
      </c>
      <c r="AB7">
        <v>2010</v>
      </c>
      <c r="AC7">
        <v>56.84</v>
      </c>
      <c r="AD7">
        <v>59.67</v>
      </c>
      <c r="AE7" s="5">
        <v>1.3484953703703703E-3</v>
      </c>
      <c r="AG7">
        <v>102764</v>
      </c>
      <c r="AH7" s="2">
        <f>_xlfn.LET(_xlpm.x,Table122110193446587082[[#This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6.578703703703704E-4</v>
      </c>
      <c r="AI7" s="3">
        <f>IF(Table122110193446587082[[#This Row],[run 1 times]]="",999.99,IF(Table122110193446587082[[#This Row],[run 1 times]]=$AO$3,0,MAX(0,ROUND(((Table122110193446587082[[#This Row],[run 1 times]]-$AO$3)/$AO$3)*$AO$6,2))))</f>
        <v>115.08</v>
      </c>
      <c r="AJ7" s="2">
        <f>_xlfn.LET(_xlpm.x,Table122110193446587082[[#This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6.9062500000000005E-4</v>
      </c>
      <c r="AK7" s="3">
        <f>IF(Table122110193446587082[[#This Row],[run2 times]]="",999.99,IF(Table122110193446587082[[#This Row],[run2 times]]=$AP$3,0,MAX(0,ROUND(((Table122110193446587082[[#This Row],[run2 times]]-$AP$3)/$AP$3)*$AO$6,2))))</f>
        <v>130.34</v>
      </c>
      <c r="AL7" s="2">
        <f>IF(OR(Table122110193446587082[[#This Row],[run 1 times]]="",Table122110193446587082[[#This Row],[run2 times]]=""),"",Table122110193446587082[[#This Row],[run 1 times]]+Table122110193446587082[[#This Row],[run2 times]])</f>
        <v>1.3484953703703706E-3</v>
      </c>
      <c r="AM7" s="3">
        <f>IF(Table122110193446587082[[#This Row],[total time]]="",999.99,IF(Table122110193446587082[[#This Row],[total time]]=$AQ$3,0,MAX(0,ROUND(((Table122110193446587082[[#This Row],[total time]]-$AQ$3)/$AQ$3)*$AO$6,2))))</f>
        <v>103.36</v>
      </c>
    </row>
    <row r="8" spans="1:43" x14ac:dyDescent="0.3">
      <c r="A8">
        <v>10</v>
      </c>
      <c r="B8">
        <v>10</v>
      </c>
      <c r="C8" t="s">
        <v>24</v>
      </c>
      <c r="D8" t="s">
        <v>522</v>
      </c>
      <c r="E8" t="s">
        <v>546</v>
      </c>
      <c r="F8">
        <v>2012</v>
      </c>
      <c r="G8">
        <v>48.17</v>
      </c>
      <c r="H8">
        <v>54.25</v>
      </c>
      <c r="I8" s="5">
        <v>1.1851851851851852E-3</v>
      </c>
      <c r="K8">
        <v>102776</v>
      </c>
      <c r="L8" s="2">
        <f>_xlfn.LET(_xlpm.x,Table127163143556779[[#This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5.5752314814814814E-4</v>
      </c>
      <c r="M8" s="3">
        <f>IF(Table127163143556779[[#This Row],[run 1 times]]="",999.99,IF(Table127163143556779[[#This Row],[run 1 times]]=$S$3,0,MAX(0,ROUND(((Table127163143556779[[#This Row],[run 1 times]]-$S$3)/$S$3)*$S$6,2))))</f>
        <v>27.68</v>
      </c>
      <c r="N8" s="2">
        <f>_xlfn.LET(_xlpm.x,Table127163143556779[[#This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6.2789351851851851E-4</v>
      </c>
      <c r="O8" s="3">
        <f>IF(Table127163143556779[[#This Row],[run2 times]]="",999.99,IF(Table127163143556779[[#This Row],[run2 times]]=$T$3,0,MAX(0,ROUND(((Table127163143556779[[#This Row],[run2 times]]-$T$3)/$T$3)*$S$6,2))))</f>
        <v>38.83</v>
      </c>
      <c r="P8" s="2">
        <f>IF(OR(Table127163143556779[[#This Row],[run 1 times]]="",Table127163143556779[[#This Row],[run2 times]]=""),"",Table127163143556779[[#This Row],[run 1 times]]+Table127163143556779[[#This Row],[run2 times]])</f>
        <v>1.1854166666666666E-3</v>
      </c>
      <c r="Q8" s="3">
        <f>IF(Table127163143556779[[#This Row],[total time]]="",999.99,IF(Table127163143556779[[#This Row],[total time]]=$U$3,0,MAX(0,ROUND(((Table127163143556779[[#This Row],[total time]]-$U$3)/$U$3)*$S$6,2))))</f>
        <v>30.29</v>
      </c>
      <c r="W8">
        <v>4</v>
      </c>
      <c r="X8">
        <v>58</v>
      </c>
      <c r="Y8" t="s">
        <v>223</v>
      </c>
      <c r="Z8" t="s">
        <v>547</v>
      </c>
      <c r="AA8" t="s">
        <v>580</v>
      </c>
      <c r="AB8">
        <v>2011</v>
      </c>
      <c r="AC8">
        <v>57.65</v>
      </c>
      <c r="AD8">
        <v>59.06</v>
      </c>
      <c r="AE8" s="5">
        <v>1.3508101851851854E-3</v>
      </c>
      <c r="AG8">
        <v>94556</v>
      </c>
      <c r="AH8" s="2">
        <f>_xlfn.LET(_xlpm.x,Table122110193446587082[[#This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6.6724537037037034E-4</v>
      </c>
      <c r="AI8" s="3">
        <f>IF(Table122110193446587082[[#This Row],[run 1 times]]="",999.99,IF(Table122110193446587082[[#This Row],[run 1 times]]=$AO$3,0,MAX(0,ROUND(((Table122110193446587082[[#This Row],[run 1 times]]-$AO$3)/$AO$3)*$AO$6,2))))</f>
        <v>127.12</v>
      </c>
      <c r="AJ8" s="2">
        <f>_xlfn.LET(_xlpm.x,Table122110193446587082[[#This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6.835648148148148E-4</v>
      </c>
      <c r="AK8" s="3">
        <f>IF(Table122110193446587082[[#This Row],[run2 times]]="",999.99,IF(Table122110193446587082[[#This Row],[run2 times]]=$AP$3,0,MAX(0,ROUND(((Table122110193446587082[[#This Row],[run2 times]]-$AP$3)/$AP$3)*$AO$6,2))))</f>
        <v>121.55</v>
      </c>
      <c r="AL8" s="2">
        <f>IF(OR(Table122110193446587082[[#This Row],[run 1 times]]="",Table122110193446587082[[#This Row],[run2 times]]=""),"",Table122110193446587082[[#This Row],[run 1 times]]+Table122110193446587082[[#This Row],[run2 times]])</f>
        <v>1.3508101851851851E-3</v>
      </c>
      <c r="AM8" s="3">
        <f>IF(Table122110193446587082[[#This Row],[total time]]="",999.99,IF(Table122110193446587082[[#This Row],[total time]]=$AQ$3,0,MAX(0,ROUND(((Table122110193446587082[[#This Row],[total time]]-$AQ$3)/$AQ$3)*$AO$6,2))))</f>
        <v>104.79</v>
      </c>
    </row>
    <row r="9" spans="1:43" x14ac:dyDescent="0.3">
      <c r="A9">
        <v>6</v>
      </c>
      <c r="B9">
        <v>6</v>
      </c>
      <c r="C9" t="s">
        <v>24</v>
      </c>
      <c r="D9" t="s">
        <v>522</v>
      </c>
      <c r="E9" t="s">
        <v>539</v>
      </c>
      <c r="F9">
        <v>2012</v>
      </c>
      <c r="G9">
        <v>49.25</v>
      </c>
      <c r="H9" s="5">
        <v>54.21</v>
      </c>
      <c r="I9" s="5">
        <v>1.1979166666666666E-3</v>
      </c>
      <c r="K9">
        <v>102777</v>
      </c>
      <c r="L9" s="2">
        <f>_xlfn.LET(_xlpm.x,Table127163143556779[[#This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5.7002314814814817E-4</v>
      </c>
      <c r="M9" s="3">
        <f>IF(Table127163143556779[[#This Row],[run 1 times]]="",999.99,IF(Table127163143556779[[#This Row],[run 1 times]]=$S$3,0,MAX(0,ROUND(((Table127163143556779[[#This Row],[run 1 times]]-$S$3)/$S$3)*$S$6,2))))</f>
        <v>44.67</v>
      </c>
      <c r="N9" s="2">
        <f>_xlfn.LET(_xlpm.x,Table127163143556779[[#This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6.2743055555555555E-4</v>
      </c>
      <c r="O9" s="3">
        <f>IF(Table127163143556779[[#This Row],[run2 times]]="",999.99,IF(Table127163143556779[[#This Row],[run2 times]]=$T$3,0,MAX(0,ROUND(((Table127163143556779[[#This Row],[run2 times]]-$T$3)/$T$3)*$S$6,2))))</f>
        <v>38.26</v>
      </c>
      <c r="P9" s="2">
        <f>IF(OR(Table127163143556779[[#This Row],[run 1 times]]="",Table127163143556779[[#This Row],[run2 times]]=""),"",Table127163143556779[[#This Row],[run 1 times]]+Table127163143556779[[#This Row],[run2 times]])</f>
        <v>1.1974537037037036E-3</v>
      </c>
      <c r="Q9" s="3">
        <f>IF(Table127163143556779[[#This Row],[total time]]="",999.99,IF(Table127163143556779[[#This Row],[total time]]=$U$3,0,MAX(0,ROUND(((Table127163143556779[[#This Row],[total time]]-$U$3)/$U$3)*$S$6,2))))</f>
        <v>38.01</v>
      </c>
      <c r="W9">
        <v>14</v>
      </c>
      <c r="X9">
        <v>68</v>
      </c>
      <c r="Y9" t="s">
        <v>257</v>
      </c>
      <c r="Z9" t="s">
        <v>547</v>
      </c>
      <c r="AA9" t="s">
        <v>570</v>
      </c>
      <c r="AB9">
        <v>2010</v>
      </c>
      <c r="AC9">
        <v>58.85</v>
      </c>
      <c r="AD9" s="5">
        <v>6.9895833333333333E-4</v>
      </c>
      <c r="AE9" s="5">
        <v>1.3800925925925927E-3</v>
      </c>
      <c r="AG9">
        <v>102723</v>
      </c>
      <c r="AH9" s="2">
        <f>_xlfn.LET(_xlpm.x,Table122110193446587082[[#This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6.8113425925925926E-4</v>
      </c>
      <c r="AI9" s="3">
        <f>IF(Table122110193446587082[[#This Row],[run 1 times]]="",999.99,IF(Table122110193446587082[[#This Row],[run 1 times]]=$AO$3,0,MAX(0,ROUND(((Table122110193446587082[[#This Row],[run 1 times]]-$AO$3)/$AO$3)*$AO$6,2))))</f>
        <v>144.96</v>
      </c>
      <c r="AJ9" s="2">
        <f>_xlfn.LET(_xlpm.x,Table122110193446587082[[#This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6.9895833333333333E-4</v>
      </c>
      <c r="AK9" s="3">
        <f>IF(Table122110193446587082[[#This Row],[run2 times]]="",999.99,IF(Table122110193446587082[[#This Row],[run2 times]]=$AP$3,0,MAX(0,ROUND(((Table122110193446587082[[#This Row],[run2 times]]-$AP$3)/$AP$3)*$AO$6,2))))</f>
        <v>140.72</v>
      </c>
      <c r="AL9" s="2">
        <f>IF(OR(Table122110193446587082[[#This Row],[run 1 times]]="",Table122110193446587082[[#This Row],[run2 times]]=""),"",Table122110193446587082[[#This Row],[run 1 times]]+Table122110193446587082[[#This Row],[run2 times]])</f>
        <v>1.3800925925925925E-3</v>
      </c>
      <c r="AM9" s="3">
        <f>IF(Table122110193446587082[[#This Row],[total time]]="",999.99,IF(Table122110193446587082[[#This Row],[total time]]=$AQ$3,0,MAX(0,ROUND(((Table122110193446587082[[#This Row],[total time]]-$AQ$3)/$AQ$3)*$AO$6,2))))</f>
        <v>122.88</v>
      </c>
    </row>
    <row r="10" spans="1:43" x14ac:dyDescent="0.3">
      <c r="A10">
        <v>20</v>
      </c>
      <c r="B10">
        <v>20</v>
      </c>
      <c r="C10" t="s">
        <v>257</v>
      </c>
      <c r="D10" t="s">
        <v>522</v>
      </c>
      <c r="E10" t="s">
        <v>530</v>
      </c>
      <c r="F10">
        <v>2013</v>
      </c>
      <c r="G10" s="5">
        <v>50.04</v>
      </c>
      <c r="H10">
        <v>54.94</v>
      </c>
      <c r="I10" s="5">
        <v>1.2152777777777778E-3</v>
      </c>
      <c r="K10">
        <v>112516</v>
      </c>
      <c r="L10" s="2">
        <f>_xlfn.LET(_xlpm.x,Table127163143556779[[#This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5.7916666666666663E-4</v>
      </c>
      <c r="M10" s="3">
        <f>IF(Table127163143556779[[#This Row],[run 1 times]]="",999.99,IF(Table127163143556779[[#This Row],[run 1 times]]=$S$3,0,MAX(0,ROUND(((Table127163143556779[[#This Row],[run 1 times]]-$S$3)/$S$3)*$S$6,2))))</f>
        <v>57.1</v>
      </c>
      <c r="N10" s="2">
        <f>_xlfn.LET(_xlpm.x,Table127163143556779[[#This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6.3587962962962958E-4</v>
      </c>
      <c r="O10" s="3">
        <f>IF(Table127163143556779[[#This Row],[run2 times]]="",999.99,IF(Table127163143556779[[#This Row],[run2 times]]=$T$3,0,MAX(0,ROUND(((Table127163143556779[[#This Row],[run2 times]]-$T$3)/$T$3)*$S$6,2))))</f>
        <v>48.61</v>
      </c>
      <c r="P10" s="2">
        <f>IF(OR(Table127163143556779[[#This Row],[run 1 times]]="",Table127163143556779[[#This Row],[run2 times]]=""),"",Table127163143556779[[#This Row],[run 1 times]]+Table127163143556779[[#This Row],[run2 times]])</f>
        <v>1.2150462962962961E-3</v>
      </c>
      <c r="Q10" s="3">
        <f>IF(Table127163143556779[[#This Row],[total time]]="",999.99,IF(Table127163143556779[[#This Row],[total time]]=$U$3,0,MAX(0,ROUND(((Table127163143556779[[#This Row],[total time]]-$U$3)/$U$3)*$S$6,2))))</f>
        <v>49.29</v>
      </c>
      <c r="W10">
        <v>15</v>
      </c>
      <c r="X10">
        <v>69</v>
      </c>
      <c r="Y10" t="s">
        <v>24</v>
      </c>
      <c r="Z10" t="s">
        <v>547</v>
      </c>
      <c r="AA10" t="s">
        <v>835</v>
      </c>
      <c r="AB10">
        <v>2011</v>
      </c>
      <c r="AC10" s="5">
        <v>7.0023148148148147E-4</v>
      </c>
      <c r="AD10">
        <v>59.86</v>
      </c>
      <c r="AE10" s="5">
        <v>1.3930555555555556E-3</v>
      </c>
      <c r="AG10">
        <v>88934</v>
      </c>
      <c r="AH10" s="2">
        <f>_xlfn.LET(_xlpm.x,Table122110193446587082[[#This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7.0023148148148147E-4</v>
      </c>
      <c r="AI10" s="3">
        <f>IF(Table122110193446587082[[#This Row],[run 1 times]]="",999.99,IF(Table122110193446587082[[#This Row],[run 1 times]]=$AO$3,0,MAX(0,ROUND(((Table122110193446587082[[#This Row],[run 1 times]]-$AO$3)/$AO$3)*$AO$6,2))))</f>
        <v>169.49</v>
      </c>
      <c r="AJ10" s="2">
        <f>_xlfn.LET(_xlpm.x,Table122110193446587082[[#This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6.9282407407407411E-4</v>
      </c>
      <c r="AK10" s="3">
        <f>IF(Table122110193446587082[[#This Row],[run2 times]]="",999.99,IF(Table122110193446587082[[#This Row],[run2 times]]=$AP$3,0,MAX(0,ROUND(((Table122110193446587082[[#This Row],[run2 times]]-$AP$3)/$AP$3)*$AO$6,2))))</f>
        <v>133.08000000000001</v>
      </c>
      <c r="AL10" s="2">
        <f>IF(OR(Table122110193446587082[[#This Row],[run 1 times]]="",Table122110193446587082[[#This Row],[run2 times]]=""),"",Table122110193446587082[[#This Row],[run 1 times]]+Table122110193446587082[[#This Row],[run2 times]])</f>
        <v>1.3930555555555556E-3</v>
      </c>
      <c r="AM10" s="3">
        <f>IF(Table122110193446587082[[#This Row],[total time]]="",999.99,IF(Table122110193446587082[[#This Row],[total time]]=$AQ$3,0,MAX(0,ROUND(((Table122110193446587082[[#This Row],[total time]]-$AQ$3)/$AQ$3)*$AO$6,2))))</f>
        <v>130.88999999999999</v>
      </c>
    </row>
    <row r="11" spans="1:43" x14ac:dyDescent="0.3">
      <c r="A11">
        <v>19</v>
      </c>
      <c r="B11">
        <v>19</v>
      </c>
      <c r="C11" t="s">
        <v>257</v>
      </c>
      <c r="D11" t="s">
        <v>522</v>
      </c>
      <c r="E11" t="s">
        <v>532</v>
      </c>
      <c r="F11">
        <v>2013</v>
      </c>
      <c r="G11" s="5">
        <v>50.79</v>
      </c>
      <c r="H11" s="5">
        <v>54.55</v>
      </c>
      <c r="I11" s="5">
        <v>1.21875E-3</v>
      </c>
      <c r="K11">
        <v>117693</v>
      </c>
      <c r="L11" s="2">
        <f>_xlfn.LET(_xlpm.x,Table127163143556779[[#This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5.8784722222222224E-4</v>
      </c>
      <c r="M11" s="3">
        <f>IF(Table127163143556779[[#This Row],[run 1 times]]="",999.99,IF(Table127163143556779[[#This Row],[run 1 times]]=$S$3,0,MAX(0,ROUND(((Table127163143556779[[#This Row],[run 1 times]]-$S$3)/$S$3)*$S$6,2))))</f>
        <v>68.89</v>
      </c>
      <c r="N11" s="2">
        <f>_xlfn.LET(_xlpm.x,Table127163143556779[[#This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6.3136574074074072E-4</v>
      </c>
      <c r="O11" s="3">
        <f>IF(Table127163143556779[[#This Row],[run2 times]]="",999.99,IF(Table127163143556779[[#This Row],[run2 times]]=$T$3,0,MAX(0,ROUND(((Table127163143556779[[#This Row],[run2 times]]-$T$3)/$T$3)*$S$6,2))))</f>
        <v>43.08</v>
      </c>
      <c r="P11" s="2">
        <f>IF(OR(Table127163143556779[[#This Row],[run 1 times]]="",Table127163143556779[[#This Row],[run2 times]]=""),"",Table127163143556779[[#This Row],[run 1 times]]+Table127163143556779[[#This Row],[run2 times]])</f>
        <v>1.219212962962963E-3</v>
      </c>
      <c r="Q11" s="3">
        <f>IF(Table127163143556779[[#This Row],[total time]]="",999.99,IF(Table127163143556779[[#This Row],[total time]]=$U$3,0,MAX(0,ROUND(((Table127163143556779[[#This Row],[total time]]-$U$3)/$U$3)*$S$6,2))))</f>
        <v>51.96</v>
      </c>
      <c r="W11">
        <v>20</v>
      </c>
      <c r="X11">
        <v>74</v>
      </c>
      <c r="Y11" t="s">
        <v>373</v>
      </c>
      <c r="Z11" t="s">
        <v>547</v>
      </c>
      <c r="AA11" t="s">
        <v>554</v>
      </c>
      <c r="AB11">
        <v>2011</v>
      </c>
      <c r="AC11" s="5">
        <v>6.9849537037037037E-4</v>
      </c>
      <c r="AD11" s="5">
        <v>7.1030092592592586E-4</v>
      </c>
      <c r="AE11" s="5">
        <v>1.4087962962962962E-3</v>
      </c>
      <c r="AG11">
        <v>94829</v>
      </c>
      <c r="AH11" s="2">
        <f>_xlfn.LET(_xlpm.x,Table122110193446587082[[#This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6.9849537037037037E-4</v>
      </c>
      <c r="AI11" s="3">
        <f>IF(Table122110193446587082[[#This Row],[run 1 times]]="",999.99,IF(Table122110193446587082[[#This Row],[run 1 times]]=$AO$3,0,MAX(0,ROUND(((Table122110193446587082[[#This Row],[run 1 times]]-$AO$3)/$AO$3)*$AO$6,2))))</f>
        <v>167.26</v>
      </c>
      <c r="AJ11" s="2">
        <f>_xlfn.LET(_xlpm.x,Table122110193446587082[[#This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7.1030092592592586E-4</v>
      </c>
      <c r="AK11" s="3">
        <f>IF(Table122110193446587082[[#This Row],[run2 times]]="",999.99,IF(Table122110193446587082[[#This Row],[run2 times]]=$AP$3,0,MAX(0,ROUND(((Table122110193446587082[[#This Row],[run2 times]]-$AP$3)/$AP$3)*$AO$6,2))))</f>
        <v>154.85</v>
      </c>
      <c r="AL11" s="2">
        <f>IF(OR(Table122110193446587082[[#This Row],[run 1 times]]="",Table122110193446587082[[#This Row],[run2 times]]=""),"",Table122110193446587082[[#This Row],[run 1 times]]+Table122110193446587082[[#This Row],[run2 times]])</f>
        <v>1.4087962962962962E-3</v>
      </c>
      <c r="AM11" s="3">
        <f>IF(Table122110193446587082[[#This Row],[total time]]="",999.99,IF(Table122110193446587082[[#This Row],[total time]]=$AQ$3,0,MAX(0,ROUND(((Table122110193446587082[[#This Row],[total time]]-$AQ$3)/$AQ$3)*$AO$6,2))))</f>
        <v>140.62</v>
      </c>
    </row>
    <row r="12" spans="1:43" x14ac:dyDescent="0.3">
      <c r="A12">
        <v>3</v>
      </c>
      <c r="B12">
        <v>3</v>
      </c>
      <c r="C12" t="s">
        <v>257</v>
      </c>
      <c r="D12" t="s">
        <v>522</v>
      </c>
      <c r="E12" t="s">
        <v>526</v>
      </c>
      <c r="F12">
        <v>2012</v>
      </c>
      <c r="G12">
        <v>49.59</v>
      </c>
      <c r="H12" s="5">
        <v>55.83</v>
      </c>
      <c r="I12" s="5">
        <v>1.2199074074074074E-3</v>
      </c>
      <c r="K12">
        <v>107311</v>
      </c>
      <c r="L12" s="2">
        <f>_xlfn.LET(_xlpm.x,Table127163143556779[[#This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5.7395833333333333E-4</v>
      </c>
      <c r="M12" s="3">
        <f>IF(Table127163143556779[[#This Row],[run 1 times]]="",999.99,IF(Table127163143556779[[#This Row],[run 1 times]]=$S$3,0,MAX(0,ROUND(((Table127163143556779[[#This Row],[run 1 times]]-$S$3)/$S$3)*$S$6,2))))</f>
        <v>50.02</v>
      </c>
      <c r="N12" s="2">
        <f>_xlfn.LET(_xlpm.x,Table127163143556779[[#This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6.4618055555555555E-4</v>
      </c>
      <c r="O12" s="3">
        <f>IF(Table127163143556779[[#This Row],[run2 times]]="",999.99,IF(Table127163143556779[[#This Row],[run2 times]]=$T$3,0,MAX(0,ROUND(((Table127163143556779[[#This Row],[run2 times]]-$T$3)/$T$3)*$S$6,2))))</f>
        <v>61.22</v>
      </c>
      <c r="P12" s="2">
        <f>IF(OR(Table127163143556779[[#This Row],[run 1 times]]="",Table127163143556779[[#This Row],[run2 times]]=""),"",Table127163143556779[[#This Row],[run 1 times]]+Table127163143556779[[#This Row],[run2 times]])</f>
        <v>1.2201388888888889E-3</v>
      </c>
      <c r="Q12" s="3">
        <f>IF(Table127163143556779[[#This Row],[total time]]="",999.99,IF(Table127163143556779[[#This Row],[total time]]=$U$3,0,MAX(0,ROUND(((Table127163143556779[[#This Row],[total time]]-$U$3)/$U$3)*$S$6,2))))</f>
        <v>52.56</v>
      </c>
      <c r="W12">
        <v>8</v>
      </c>
      <c r="X12">
        <v>62</v>
      </c>
      <c r="Y12" t="s">
        <v>24</v>
      </c>
      <c r="Z12" t="s">
        <v>547</v>
      </c>
      <c r="AA12" t="s">
        <v>562</v>
      </c>
      <c r="AB12">
        <v>2011</v>
      </c>
      <c r="AC12">
        <v>59.74</v>
      </c>
      <c r="AD12" s="5">
        <v>7.2870370370370374E-4</v>
      </c>
      <c r="AE12" s="5">
        <v>1.420138888888889E-3</v>
      </c>
      <c r="AG12">
        <v>104665</v>
      </c>
      <c r="AH12" s="2">
        <f>_xlfn.LET(_xlpm.x,Table122110193446587082[[#This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6.9143518518518523E-4</v>
      </c>
      <c r="AI12" s="3">
        <f>IF(Table122110193446587082[[#This Row],[run 1 times]]="",999.99,IF(Table122110193446587082[[#This Row],[run 1 times]]=$AO$3,0,MAX(0,ROUND(((Table122110193446587082[[#This Row],[run 1 times]]-$AO$3)/$AO$3)*$AO$6,2))))</f>
        <v>158.19</v>
      </c>
      <c r="AJ12" s="2">
        <f>_xlfn.LET(_xlpm.x,Table122110193446587082[[#This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7.2870370370370374E-4</v>
      </c>
      <c r="AK12" s="3">
        <f>IF(Table122110193446587082[[#This Row],[run2 times]]="",999.99,IF(Table122110193446587082[[#This Row],[run2 times]]=$AP$3,0,MAX(0,ROUND(((Table122110193446587082[[#This Row],[run2 times]]-$AP$3)/$AP$3)*$AO$6,2))))</f>
        <v>177.78</v>
      </c>
      <c r="AL12" s="2">
        <f>IF(OR(Table122110193446587082[[#This Row],[run 1 times]]="",Table122110193446587082[[#This Row],[run2 times]]=""),"",Table122110193446587082[[#This Row],[run 1 times]]+Table122110193446587082[[#This Row],[run2 times]])</f>
        <v>1.420138888888889E-3</v>
      </c>
      <c r="AM12" s="3">
        <f>IF(Table122110193446587082[[#This Row],[total time]]="",999.99,IF(Table122110193446587082[[#This Row],[total time]]=$AQ$3,0,MAX(0,ROUND(((Table122110193446587082[[#This Row],[total time]]-$AQ$3)/$AQ$3)*$AO$6,2))))</f>
        <v>147.63</v>
      </c>
    </row>
    <row r="13" spans="1:43" x14ac:dyDescent="0.3">
      <c r="A13">
        <v>18</v>
      </c>
      <c r="B13">
        <v>18</v>
      </c>
      <c r="C13" t="s">
        <v>24</v>
      </c>
      <c r="D13" t="s">
        <v>522</v>
      </c>
      <c r="E13" t="s">
        <v>533</v>
      </c>
      <c r="F13">
        <v>2013</v>
      </c>
      <c r="G13" s="5">
        <v>49.64</v>
      </c>
      <c r="H13" s="5">
        <v>59.26</v>
      </c>
      <c r="I13" s="5">
        <v>1.2604166666666666E-3</v>
      </c>
      <c r="K13">
        <v>104666</v>
      </c>
      <c r="L13" s="2">
        <f>_xlfn.LET(_xlpm.x,Table127163143556779[[#This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5.7453703703703703E-4</v>
      </c>
      <c r="M13" s="3">
        <f>IF(Table127163143556779[[#This Row],[run 1 times]]="",999.99,IF(Table127163143556779[[#This Row],[run 1 times]]=$S$3,0,MAX(0,ROUND(((Table127163143556779[[#This Row],[run 1 times]]-$S$3)/$S$3)*$S$6,2))))</f>
        <v>50.81</v>
      </c>
      <c r="N13" s="2">
        <f>_xlfn.LET(_xlpm.x,Table127163143556779[[#This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6.858796296296296E-4</v>
      </c>
      <c r="O13" s="3">
        <f>IF(Table127163143556779[[#This Row],[run2 times]]="",999.99,IF(Table127163143556779[[#This Row],[run2 times]]=$T$3,0,MAX(0,ROUND(((Table127163143556779[[#This Row],[run2 times]]-$T$3)/$T$3)*$S$6,2))))</f>
        <v>109.83</v>
      </c>
      <c r="P13" s="2">
        <f>IF(OR(Table127163143556779[[#This Row],[run 1 times]]="",Table127163143556779[[#This Row],[run2 times]]=""),"",Table127163143556779[[#This Row],[run 1 times]]+Table127163143556779[[#This Row],[run2 times]])</f>
        <v>1.2604166666666666E-3</v>
      </c>
      <c r="Q13" s="3">
        <f>IF(Table127163143556779[[#This Row],[total time]]="",999.99,IF(Table127163143556779[[#This Row],[total time]]=$U$3,0,MAX(0,ROUND(((Table127163143556779[[#This Row],[total time]]-$U$3)/$U$3)*$S$6,2))))</f>
        <v>78.39</v>
      </c>
      <c r="W13">
        <v>9</v>
      </c>
      <c r="X13">
        <v>63</v>
      </c>
      <c r="Y13" t="s">
        <v>257</v>
      </c>
      <c r="Z13" t="s">
        <v>547</v>
      </c>
      <c r="AA13" t="s">
        <v>571</v>
      </c>
      <c r="AB13">
        <v>2010</v>
      </c>
      <c r="AC13" s="5">
        <v>7.5092592592592583E-4</v>
      </c>
      <c r="AD13" s="5">
        <v>7.5902777777777774E-4</v>
      </c>
      <c r="AE13" s="5">
        <v>1.5099537037037039E-3</v>
      </c>
      <c r="AG13">
        <v>92167</v>
      </c>
      <c r="AH13" s="2">
        <f>_xlfn.LET(_xlpm.x,Table122110193446587082[[#This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7.5092592592592583E-4</v>
      </c>
      <c r="AI13" s="3">
        <f>IF(Table122110193446587082[[#This Row],[run 1 times]]="",999.99,IF(Table122110193446587082[[#This Row],[run 1 times]]=$AO$3,0,MAX(0,ROUND(((Table122110193446587082[[#This Row],[run 1 times]]-$AO$3)/$AO$3)*$AO$6,2))))</f>
        <v>234.61</v>
      </c>
      <c r="AJ13" s="2">
        <f>_xlfn.LET(_xlpm.x,Table122110193446587082[[#This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7.5902777777777774E-4</v>
      </c>
      <c r="AK13" s="3">
        <f>IF(Table122110193446587082[[#This Row],[run2 times]]="",999.99,IF(Table122110193446587082[[#This Row],[run2 times]]=$AP$3,0,MAX(0,ROUND(((Table122110193446587082[[#This Row],[run2 times]]-$AP$3)/$AP$3)*$AO$6,2))))</f>
        <v>215.55</v>
      </c>
      <c r="AL13" s="2">
        <f>IF(OR(Table122110193446587082[[#This Row],[run 1 times]]="",Table122110193446587082[[#This Row],[run2 times]]=""),"",Table122110193446587082[[#This Row],[run 1 times]]+Table122110193446587082[[#This Row],[run2 times]])</f>
        <v>1.5099537037037035E-3</v>
      </c>
      <c r="AM13" s="3">
        <f>IF(Table122110193446587082[[#This Row],[total time]]="",999.99,IF(Table122110193446587082[[#This Row],[total time]]=$AQ$3,0,MAX(0,ROUND(((Table122110193446587082[[#This Row],[total time]]-$AQ$3)/$AQ$3)*$AO$6,2))))</f>
        <v>203.14</v>
      </c>
    </row>
    <row r="14" spans="1:43" x14ac:dyDescent="0.3">
      <c r="A14">
        <v>25</v>
      </c>
      <c r="B14">
        <v>25</v>
      </c>
      <c r="C14" t="s">
        <v>223</v>
      </c>
      <c r="D14" t="s">
        <v>480</v>
      </c>
      <c r="E14" t="s">
        <v>483</v>
      </c>
      <c r="G14" s="5">
        <v>53.56</v>
      </c>
      <c r="H14" s="5">
        <v>59.94</v>
      </c>
      <c r="I14" s="5">
        <v>1.3136574074074075E-3</v>
      </c>
      <c r="K14">
        <v>111248</v>
      </c>
      <c r="L14" s="2">
        <f>_xlfn.LET(_xlpm.x,Table127163143556779[[#This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6.1990740740740745E-4</v>
      </c>
      <c r="M14" s="3">
        <f>IF(Table127163143556779[[#This Row],[run 1 times]]="",999.99,IF(Table127163143556779[[#This Row],[run 1 times]]=$S$3,0,MAX(0,ROUND(((Table127163143556779[[#This Row],[run 1 times]]-$S$3)/$S$3)*$S$6,2))))</f>
        <v>112.46</v>
      </c>
      <c r="N14" s="2">
        <f>_xlfn.LET(_xlpm.x,Table127163143556779[[#This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6.9374999999999992E-4</v>
      </c>
      <c r="O14" s="3">
        <f>IF(Table127163143556779[[#This Row],[run2 times]]="",999.99,IF(Table127163143556779[[#This Row],[run2 times]]=$T$3,0,MAX(0,ROUND(((Table127163143556779[[#This Row],[run2 times]]-$T$3)/$T$3)*$S$6,2))))</f>
        <v>119.47</v>
      </c>
      <c r="P14" s="2">
        <f>IF(OR(Table127163143556779[[#This Row],[run 1 times]]="",Table127163143556779[[#This Row],[run2 times]]=""),"",Table127163143556779[[#This Row],[run 1 times]]+Table127163143556779[[#This Row],[run2 times]])</f>
        <v>1.3136574074074075E-3</v>
      </c>
      <c r="Q14" s="3">
        <f>IF(Table127163143556779[[#This Row],[total time]]="",999.99,IF(Table127163143556779[[#This Row],[total time]]=$U$3,0,MAX(0,ROUND(((Table127163143556779[[#This Row],[total time]]-$U$3)/$U$3)*$S$6,2))))</f>
        <v>112.54</v>
      </c>
      <c r="W14">
        <v>19</v>
      </c>
      <c r="X14">
        <v>173</v>
      </c>
      <c r="Y14" t="s">
        <v>24</v>
      </c>
      <c r="Z14" t="s">
        <v>547</v>
      </c>
      <c r="AA14" t="s">
        <v>834</v>
      </c>
      <c r="AB14">
        <v>2011</v>
      </c>
      <c r="AC14" s="5">
        <v>7.9189814814814813E-4</v>
      </c>
      <c r="AD14" s="5">
        <v>8.0324074074074076E-4</v>
      </c>
      <c r="AE14" s="5">
        <v>1.5951388888888888E-3</v>
      </c>
      <c r="AG14">
        <v>121115</v>
      </c>
      <c r="AH14" s="2">
        <f>_xlfn.LET(_xlpm.x,Table122110193446587082[[#This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7.9189814814814813E-4</v>
      </c>
      <c r="AI14" s="3">
        <f>IF(Table122110193446587082[[#This Row],[run 1 times]]="",999.99,IF(Table122110193446587082[[#This Row],[run 1 times]]=$AO$3,0,MAX(0,ROUND(((Table122110193446587082[[#This Row],[run 1 times]]-$AO$3)/$AO$3)*$AO$6,2))))</f>
        <v>287.24</v>
      </c>
      <c r="AJ14" s="2">
        <f>_xlfn.LET(_xlpm.x,Table122110193446587082[[#This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8.0324074074074076E-4</v>
      </c>
      <c r="AK14" s="3">
        <f>IF(Table122110193446587082[[#This Row],[run2 times]]="",999.99,IF(Table122110193446587082[[#This Row],[run2 times]]=$AP$3,0,MAX(0,ROUND(((Table122110193446587082[[#This Row],[run2 times]]-$AP$3)/$AP$3)*$AO$6,2))))</f>
        <v>270.63</v>
      </c>
      <c r="AL14" s="2">
        <f>IF(OR(Table122110193446587082[[#This Row],[run 1 times]]="",Table122110193446587082[[#This Row],[run2 times]]=""),"",Table122110193446587082[[#This Row],[run 1 times]]+Table122110193446587082[[#This Row],[run2 times]])</f>
        <v>1.595138888888889E-3</v>
      </c>
      <c r="AM14" s="3">
        <f>IF(Table122110193446587082[[#This Row],[total time]]="",999.99,IF(Table122110193446587082[[#This Row],[total time]]=$AQ$3,0,MAX(0,ROUND(((Table122110193446587082[[#This Row],[total time]]-$AQ$3)/$AQ$3)*$AO$6,2))))</f>
        <v>255.78</v>
      </c>
    </row>
    <row r="15" spans="1:43" x14ac:dyDescent="0.3">
      <c r="A15">
        <v>27</v>
      </c>
      <c r="B15">
        <v>27</v>
      </c>
      <c r="C15" t="s">
        <v>373</v>
      </c>
      <c r="D15" t="s">
        <v>480</v>
      </c>
      <c r="E15" t="s">
        <v>502</v>
      </c>
      <c r="F15">
        <v>2014</v>
      </c>
      <c r="G15" s="5">
        <v>55.33</v>
      </c>
      <c r="H15" s="5">
        <v>6.9560185185185187E-4</v>
      </c>
      <c r="I15" s="5">
        <v>1.3368055555555555E-3</v>
      </c>
      <c r="K15">
        <v>122059</v>
      </c>
      <c r="L15" s="2">
        <f>_xlfn.LET(_xlpm.x,Table127163143556779[[#This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6.4039351851851855E-4</v>
      </c>
      <c r="M15" s="3">
        <f>IF(Table127163143556779[[#This Row],[run 1 times]]="",999.99,IF(Table127163143556779[[#This Row],[run 1 times]]=$S$3,0,MAX(0,ROUND(((Table127163143556779[[#This Row],[run 1 times]]-$S$3)/$S$3)*$S$6,2))))</f>
        <v>140.31</v>
      </c>
      <c r="N15" s="2">
        <f>_xlfn.LET(_xlpm.x,Table127163143556779[[#This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6.9560185185185187E-4</v>
      </c>
      <c r="O15" s="3">
        <f>IF(Table127163143556779[[#This Row],[run2 times]]="",999.99,IF(Table127163143556779[[#This Row],[run2 times]]=$T$3,0,MAX(0,ROUND(((Table127163143556779[[#This Row],[run2 times]]-$T$3)/$T$3)*$S$6,2))))</f>
        <v>121.74</v>
      </c>
      <c r="P15" s="2">
        <f>IF(OR(Table127163143556779[[#This Row],[run 1 times]]="",Table127163143556779[[#This Row],[run2 times]]=""),"",Table127163143556779[[#This Row],[run 1 times]]+Table127163143556779[[#This Row],[run2 times]])</f>
        <v>1.3359953703703704E-3</v>
      </c>
      <c r="Q15" s="3">
        <f>IF(Table127163143556779[[#This Row],[total time]]="",999.99,IF(Table127163143556779[[#This Row],[total time]]=$U$3,0,MAX(0,ROUND(((Table127163143556779[[#This Row],[total time]]-$U$3)/$U$3)*$S$6,2))))</f>
        <v>126.86</v>
      </c>
      <c r="W15">
        <v>3</v>
      </c>
      <c r="X15">
        <v>57</v>
      </c>
      <c r="Y15" t="s">
        <v>257</v>
      </c>
      <c r="Z15" t="s">
        <v>547</v>
      </c>
      <c r="AA15" t="s">
        <v>578</v>
      </c>
      <c r="AB15">
        <v>2010</v>
      </c>
      <c r="AC15" s="5">
        <v>8.4097222222222223E-4</v>
      </c>
      <c r="AD15" s="5">
        <v>8.587962962962963E-4</v>
      </c>
      <c r="AE15" s="5">
        <v>1.6997685185185186E-3</v>
      </c>
      <c r="AG15">
        <v>121966</v>
      </c>
      <c r="AH15" s="2">
        <f>_xlfn.LET(_xlpm.x,Table122110193446587082[[#This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8.4097222222222223E-4</v>
      </c>
      <c r="AI15" s="3">
        <f>IF(Table122110193446587082[[#This Row],[run 1 times]]="",999.99,IF(Table122110193446587082[[#This Row],[run 1 times]]=$AO$3,0,MAX(0,ROUND(((Table122110193446587082[[#This Row],[run 1 times]]-$AO$3)/$AO$3)*$AO$6,2))))</f>
        <v>350.28</v>
      </c>
      <c r="AJ15" s="2">
        <f>_xlfn.LET(_xlpm.x,Table122110193446587082[[#This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8.587962962962963E-4</v>
      </c>
      <c r="AK15" s="3">
        <f>IF(Table122110193446587082[[#This Row],[run2 times]]="",999.99,IF(Table122110193446587082[[#This Row],[run2 times]]=$AP$3,0,MAX(0,ROUND(((Table122110193446587082[[#This Row],[run2 times]]-$AP$3)/$AP$3)*$AO$6,2))))</f>
        <v>339.84</v>
      </c>
      <c r="AL15" s="2">
        <f>IF(OR(Table122110193446587082[[#This Row],[run 1 times]]="",Table122110193446587082[[#This Row],[run2 times]]=""),"",Table122110193446587082[[#This Row],[run 1 times]]+Table122110193446587082[[#This Row],[run2 times]])</f>
        <v>1.6997685185185184E-3</v>
      </c>
      <c r="AM15" s="3">
        <f>IF(Table122110193446587082[[#This Row],[total time]]="",999.99,IF(Table122110193446587082[[#This Row],[total time]]=$AQ$3,0,MAX(0,ROUND(((Table122110193446587082[[#This Row],[total time]]-$AQ$3)/$AQ$3)*$AO$6,2))))</f>
        <v>320.44</v>
      </c>
    </row>
    <row r="16" spans="1:43" x14ac:dyDescent="0.3">
      <c r="A16">
        <v>24</v>
      </c>
      <c r="B16">
        <v>24</v>
      </c>
      <c r="C16" t="s">
        <v>257</v>
      </c>
      <c r="D16" t="s">
        <v>522</v>
      </c>
      <c r="E16" t="s">
        <v>904</v>
      </c>
      <c r="F16">
        <v>2013</v>
      </c>
      <c r="G16">
        <v>54.91</v>
      </c>
      <c r="H16">
        <v>7.1064814814814819E-4</v>
      </c>
      <c r="I16">
        <v>1.3460648148148147E-3</v>
      </c>
      <c r="K16">
        <v>118512</v>
      </c>
      <c r="L16" s="2">
        <f>_xlfn.LET(_xlpm.x,Table127163143556779[[#This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6.3553240740740736E-4</v>
      </c>
      <c r="M16" s="3">
        <f>IF(Table127163143556779[[#This Row],[run 1 times]]="",999.99,IF(Table127163143556779[[#This Row],[run 1 times]]=$S$3,0,MAX(0,ROUND(((Table127163143556779[[#This Row],[run 1 times]]-$S$3)/$S$3)*$S$6,2))))</f>
        <v>133.69999999999999</v>
      </c>
      <c r="N16" s="2">
        <f>_xlfn.LET(_xlpm.x,Table127163143556779[[#This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7.1064814814814819E-4</v>
      </c>
      <c r="O16" s="3">
        <f>IF(Table127163143556779[[#This Row],[run2 times]]="",999.99,IF(Table127163143556779[[#This Row],[run2 times]]=$T$3,0,MAX(0,ROUND(((Table127163143556779[[#This Row],[run2 times]]-$T$3)/$T$3)*$S$6,2))))</f>
        <v>140.16</v>
      </c>
      <c r="P16" s="2">
        <f>IF(OR(Table127163143556779[[#This Row],[run 1 times]]="",Table127163143556779[[#This Row],[run2 times]]=""),"",Table127163143556779[[#This Row],[run 1 times]]+Table127163143556779[[#This Row],[run2 times]])</f>
        <v>1.3461805555555555E-3</v>
      </c>
      <c r="Q16" s="3">
        <f>IF(Table127163143556779[[#This Row],[total time]]="",999.99,IF(Table127163143556779[[#This Row],[total time]]=$U$3,0,MAX(0,ROUND(((Table127163143556779[[#This Row],[total time]]-$U$3)/$U$3)*$S$6,2))))</f>
        <v>133.4</v>
      </c>
      <c r="W16">
        <v>17</v>
      </c>
      <c r="X16">
        <v>71</v>
      </c>
      <c r="Y16" t="s">
        <v>223</v>
      </c>
      <c r="Z16" t="s">
        <v>547</v>
      </c>
      <c r="AA16" t="s">
        <v>574</v>
      </c>
      <c r="AB16">
        <v>2010</v>
      </c>
      <c r="AC16" t="s">
        <v>512</v>
      </c>
      <c r="AD16">
        <v>50.63</v>
      </c>
      <c r="AG16">
        <v>93284</v>
      </c>
      <c r="AH16" s="2" t="str">
        <f>_xlfn.LET(_xlpm.x,Table122110193446587082[[#This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16" s="3">
        <f>IF(Table122110193446587082[[#This Row],[run 1 times]]="",999.99,IF(Table122110193446587082[[#This Row],[run 1 times]]=$AO$3,0,MAX(0,ROUND(((Table122110193446587082[[#This Row],[run 1 times]]-$AO$3)/$AO$3)*$AO$6,2))))</f>
        <v>999.99</v>
      </c>
      <c r="AJ16" s="2">
        <f>_xlfn.LET(_xlpm.x,Table122110193446587082[[#This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5.859953703703704E-4</v>
      </c>
      <c r="AK16" s="3">
        <f>IF(Table122110193446587082[[#This Row],[run2 times]]="",999.99,IF(Table122110193446587082[[#This Row],[run2 times]]=$AP$3,0,MAX(0,ROUND(((Table122110193446587082[[#This Row],[run2 times]]-$AP$3)/$AP$3)*$AO$6,2))))</f>
        <v>0</v>
      </c>
      <c r="AL16" s="2" t="str">
        <f>IF(OR(Table122110193446587082[[#This Row],[run 1 times]]="",Table122110193446587082[[#This Row],[run2 times]]=""),"",Table122110193446587082[[#This Row],[run 1 times]]+Table122110193446587082[[#This Row],[run2 times]])</f>
        <v/>
      </c>
      <c r="AM16" s="3">
        <f>IF(Table122110193446587082[[#This Row],[total time]]="",999.99,IF(Table122110193446587082[[#This Row],[total time]]=$AQ$3,0,MAX(0,ROUND(((Table122110193446587082[[#This Row],[total time]]-$AQ$3)/$AQ$3)*$AO$6,2))))</f>
        <v>999.99</v>
      </c>
    </row>
    <row r="17" spans="1:39" x14ac:dyDescent="0.3">
      <c r="A17">
        <v>14</v>
      </c>
      <c r="B17">
        <v>14</v>
      </c>
      <c r="C17" t="s">
        <v>257</v>
      </c>
      <c r="D17" t="s">
        <v>480</v>
      </c>
      <c r="E17" t="s">
        <v>511</v>
      </c>
      <c r="G17">
        <v>56.68</v>
      </c>
      <c r="H17" s="5">
        <v>7.2800925925925919E-4</v>
      </c>
      <c r="I17">
        <v>1.3831018518518519E-3</v>
      </c>
      <c r="K17">
        <v>120667</v>
      </c>
      <c r="L17" s="2">
        <f>_xlfn.LET(_xlpm.x,Table127163143556779[[#This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6.5601851851851856E-4</v>
      </c>
      <c r="M17" s="3">
        <f>IF(Table127163143556779[[#This Row],[run 1 times]]="",999.99,IF(Table127163143556779[[#This Row],[run 1 times]]=$S$3,0,MAX(0,ROUND(((Table127163143556779[[#This Row],[run 1 times]]-$S$3)/$S$3)*$S$6,2))))</f>
        <v>161.54</v>
      </c>
      <c r="N17" s="2">
        <f>_xlfn.LET(_xlpm.x,Table127163143556779[[#This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7.2800925925925919E-4</v>
      </c>
      <c r="O17" s="3">
        <f>IF(Table127163143556779[[#This Row],[run2 times]]="",999.99,IF(Table127163143556779[[#This Row],[run2 times]]=$T$3,0,MAX(0,ROUND(((Table127163143556779[[#This Row],[run2 times]]-$T$3)/$T$3)*$S$6,2))))</f>
        <v>161.41999999999999</v>
      </c>
      <c r="P17" s="2">
        <f>IF(OR(Table127163143556779[[#This Row],[run 1 times]]="",Table127163143556779[[#This Row],[run2 times]]=""),"",Table127163143556779[[#This Row],[run 1 times]]+Table127163143556779[[#This Row],[run2 times]])</f>
        <v>1.3840277777777779E-3</v>
      </c>
      <c r="Q17" s="3">
        <f>IF(Table127163143556779[[#This Row],[total time]]="",999.99,IF(Table127163143556779[[#This Row],[total time]]=$U$3,0,MAX(0,ROUND(((Table127163143556779[[#This Row],[total time]]-$U$3)/$U$3)*$S$6,2))))</f>
        <v>157.66999999999999</v>
      </c>
      <c r="W17">
        <v>5</v>
      </c>
      <c r="X17">
        <v>59</v>
      </c>
      <c r="Y17" t="s">
        <v>24</v>
      </c>
      <c r="Z17" t="s">
        <v>547</v>
      </c>
      <c r="AA17" t="s">
        <v>832</v>
      </c>
      <c r="AB17">
        <v>2011</v>
      </c>
      <c r="AC17" t="s">
        <v>512</v>
      </c>
      <c r="AD17" s="5">
        <v>7.7812500000000006E-4</v>
      </c>
      <c r="AG17">
        <v>89072</v>
      </c>
      <c r="AH17" s="2" t="str">
        <f>_xlfn.LET(_xlpm.x,Table122110193446587082[[#This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17" s="3">
        <f>IF(Table122110193446587082[[#This Row],[run 1 times]]="",999.99,IF(Table122110193446587082[[#This Row],[run 1 times]]=$AO$3,0,MAX(0,ROUND(((Table122110193446587082[[#This Row],[run 1 times]]-$AO$3)/$AO$3)*$AO$6,2))))</f>
        <v>999.99</v>
      </c>
      <c r="AJ17" s="2">
        <f>_xlfn.LET(_xlpm.x,Table122110193446587082[[#This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7.7812500000000006E-4</v>
      </c>
      <c r="AK17" s="3">
        <f>IF(Table122110193446587082[[#This Row],[run2 times]]="",999.99,IF(Table122110193446587082[[#This Row],[run2 times]]=$AP$3,0,MAX(0,ROUND(((Table122110193446587082[[#This Row],[run2 times]]-$AP$3)/$AP$3)*$AO$6,2))))</f>
        <v>239.34</v>
      </c>
      <c r="AL17" s="2" t="str">
        <f>IF(OR(Table122110193446587082[[#This Row],[run 1 times]]="",Table122110193446587082[[#This Row],[run2 times]]=""),"",Table122110193446587082[[#This Row],[run 1 times]]+Table122110193446587082[[#This Row],[run2 times]])</f>
        <v/>
      </c>
      <c r="AM17" s="3">
        <f>IF(Table122110193446587082[[#This Row],[total time]]="",999.99,IF(Table122110193446587082[[#This Row],[total time]]=$AQ$3,0,MAX(0,ROUND(((Table122110193446587082[[#This Row],[total time]]-$AQ$3)/$AQ$3)*$AO$6,2))))</f>
        <v>999.99</v>
      </c>
    </row>
    <row r="18" spans="1:39" x14ac:dyDescent="0.3">
      <c r="A18">
        <v>29</v>
      </c>
      <c r="B18">
        <v>29</v>
      </c>
      <c r="C18" t="s">
        <v>257</v>
      </c>
      <c r="D18" t="s">
        <v>522</v>
      </c>
      <c r="E18" t="s">
        <v>534</v>
      </c>
      <c r="F18">
        <v>2013</v>
      </c>
      <c r="G18">
        <v>58.17</v>
      </c>
      <c r="H18">
        <v>7.1180555555555559E-4</v>
      </c>
      <c r="I18" s="5">
        <v>1.3842592592592591E-3</v>
      </c>
      <c r="K18">
        <v>107308</v>
      </c>
      <c r="L18" s="2">
        <f>_xlfn.LET(_xlpm.x,Table127163143556779[[#This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6.7326388888888894E-4</v>
      </c>
      <c r="M18" s="3">
        <f>IF(Table127163143556779[[#This Row],[run 1 times]]="",999.99,IF(Table127163143556779[[#This Row],[run 1 times]]=$S$3,0,MAX(0,ROUND(((Table127163143556779[[#This Row],[run 1 times]]-$S$3)/$S$3)*$S$6,2))))</f>
        <v>184.98</v>
      </c>
      <c r="N18" s="2">
        <f>_xlfn.LET(_xlpm.x,Table127163143556779[[#This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7.1180555555555559E-4</v>
      </c>
      <c r="O18" s="3">
        <f>IF(Table127163143556779[[#This Row],[run2 times]]="",999.99,IF(Table127163143556779[[#This Row],[run2 times]]=$T$3,0,MAX(0,ROUND(((Table127163143556779[[#This Row],[run2 times]]-$T$3)/$T$3)*$S$6,2))))</f>
        <v>141.58000000000001</v>
      </c>
      <c r="P18" s="2">
        <f>IF(OR(Table127163143556779[[#This Row],[run 1 times]]="",Table127163143556779[[#This Row],[run2 times]]=""),"",Table127163143556779[[#This Row],[run 1 times]]+Table127163143556779[[#This Row],[run2 times]])</f>
        <v>1.3850694444444444E-3</v>
      </c>
      <c r="Q18" s="3">
        <f>IF(Table127163143556779[[#This Row],[total time]]="",999.99,IF(Table127163143556779[[#This Row],[total time]]=$U$3,0,MAX(0,ROUND(((Table127163143556779[[#This Row],[total time]]-$U$3)/$U$3)*$S$6,2))))</f>
        <v>158.34</v>
      </c>
      <c r="W18">
        <v>10</v>
      </c>
      <c r="X18">
        <v>64</v>
      </c>
      <c r="Y18" t="s">
        <v>24</v>
      </c>
      <c r="Z18" t="s">
        <v>552</v>
      </c>
      <c r="AA18" t="s">
        <v>899</v>
      </c>
      <c r="AB18">
        <v>2008</v>
      </c>
      <c r="AC18">
        <v>49.1</v>
      </c>
      <c r="AD18">
        <v>52.96</v>
      </c>
      <c r="AE18" s="5">
        <v>1.18125E-3</v>
      </c>
      <c r="AG18">
        <v>87553</v>
      </c>
      <c r="AH18" s="2">
        <f>_xlfn.LET(_xlpm.x,Table122110193446587082[[#This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5.6828703703703707E-4</v>
      </c>
      <c r="AI18" s="3">
        <f>IF(Table122110193446587082[[#This Row],[run 1 times]]="",999.99,IF(Table122110193446587082[[#This Row],[run 1 times]]=$AO$3,0,MAX(0,ROUND(((Table122110193446587082[[#This Row],[run 1 times]]-$AO$3)/$AO$3)*$AO$6,2))))</f>
        <v>0</v>
      </c>
      <c r="AJ18" s="2">
        <f>_xlfn.LET(_xlpm.x,Table122110193446587082[[#This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6.1296296296296294E-4</v>
      </c>
      <c r="AK18" s="3">
        <f>IF(Table122110193446587082[[#This Row],[run2 times]]="",999.99,IF(Table122110193446587082[[#This Row],[run2 times]]=$AP$3,0,MAX(0,ROUND(((Table122110193446587082[[#This Row],[run2 times]]-$AP$3)/$AP$3)*$AO$6,2))))</f>
        <v>33.590000000000003</v>
      </c>
      <c r="AL18" s="2">
        <f>IF(OR(Table122110193446587082[[#This Row],[run 1 times]]="",Table122110193446587082[[#This Row],[run2 times]]=""),"",Table122110193446587082[[#This Row],[run 1 times]]+Table122110193446587082[[#This Row],[run2 times]])</f>
        <v>1.18125E-3</v>
      </c>
      <c r="AM18" s="3">
        <f>IF(Table122110193446587082[[#This Row],[total time]]="",999.99,IF(Table122110193446587082[[#This Row],[total time]]=$AQ$3,0,MAX(0,ROUND(((Table122110193446587082[[#This Row],[total time]]-$AQ$3)/$AQ$3)*$AO$6,2))))</f>
        <v>0</v>
      </c>
    </row>
    <row r="19" spans="1:39" x14ac:dyDescent="0.3">
      <c r="A19">
        <v>32</v>
      </c>
      <c r="B19">
        <v>32</v>
      </c>
      <c r="C19" t="s">
        <v>257</v>
      </c>
      <c r="D19" t="s">
        <v>480</v>
      </c>
      <c r="E19" t="s">
        <v>495</v>
      </c>
      <c r="G19">
        <v>6.9560185185185187E-4</v>
      </c>
      <c r="H19">
        <v>7.6157407407407402E-4</v>
      </c>
      <c r="I19" s="5">
        <v>1.457175925925926E-3</v>
      </c>
      <c r="K19">
        <v>120662</v>
      </c>
      <c r="L19" s="2">
        <f>_xlfn.LET(_xlpm.x,Table127163143556779[[#This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6.9560185185185187E-4</v>
      </c>
      <c r="M19" s="3">
        <f>IF(Table127163143556779[[#This Row],[run 1 times]]="",999.99,IF(Table127163143556779[[#This Row],[run 1 times]]=$S$3,0,MAX(0,ROUND(((Table127163143556779[[#This Row],[run 1 times]]-$S$3)/$S$3)*$S$6,2))))</f>
        <v>215.34</v>
      </c>
      <c r="N19" s="2">
        <f>_xlfn.LET(_xlpm.x,Table127163143556779[[#This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7.6157407407407402E-4</v>
      </c>
      <c r="O19" s="3">
        <f>IF(Table127163143556779[[#This Row],[run2 times]]="",999.99,IF(Table127163143556779[[#This Row],[run2 times]]=$T$3,0,MAX(0,ROUND(((Table127163143556779[[#This Row],[run2 times]]-$T$3)/$T$3)*$S$6,2))))</f>
        <v>202.52</v>
      </c>
      <c r="P19" s="2">
        <f>IF(OR(Table127163143556779[[#This Row],[run 1 times]]="",Table127163143556779[[#This Row],[run2 times]]=""),"",Table127163143556779[[#This Row],[run 1 times]]+Table127163143556779[[#This Row],[run2 times]])</f>
        <v>1.457175925925926E-3</v>
      </c>
      <c r="Q19" s="3">
        <f>IF(Table127163143556779[[#This Row],[total time]]="",999.99,IF(Table127163143556779[[#This Row],[total time]]=$U$3,0,MAX(0,ROUND(((Table127163143556779[[#This Row],[total time]]-$U$3)/$U$3)*$S$6,2))))</f>
        <v>204.58</v>
      </c>
      <c r="W19">
        <v>11</v>
      </c>
      <c r="X19">
        <v>65</v>
      </c>
      <c r="Y19" t="s">
        <v>223</v>
      </c>
      <c r="Z19" t="s">
        <v>552</v>
      </c>
      <c r="AA19" t="s">
        <v>569</v>
      </c>
      <c r="AB19">
        <v>2008</v>
      </c>
      <c r="AC19">
        <v>51.05</v>
      </c>
      <c r="AD19">
        <v>53.65</v>
      </c>
      <c r="AE19" s="5">
        <v>1.2118055555555556E-3</v>
      </c>
      <c r="AG19">
        <v>85061</v>
      </c>
      <c r="AH19" s="2">
        <f>_xlfn.LET(_xlpm.x,Table122110193446587082[[#This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5.9085648148148148E-4</v>
      </c>
      <c r="AI19" s="3">
        <f>IF(Table122110193446587082[[#This Row],[run 1 times]]="",999.99,IF(Table122110193446587082[[#This Row],[run 1 times]]=$AO$3,0,MAX(0,ROUND(((Table122110193446587082[[#This Row],[run 1 times]]-$AO$3)/$AO$3)*$AO$6,2))))</f>
        <v>28.99</v>
      </c>
      <c r="AJ19" s="2">
        <f>_xlfn.LET(_xlpm.x,Table122110193446587082[[#This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6.2094907407407411E-4</v>
      </c>
      <c r="AK19" s="3">
        <f>IF(Table122110193446587082[[#This Row],[run2 times]]="",999.99,IF(Table122110193446587082[[#This Row],[run2 times]]=$AP$3,0,MAX(0,ROUND(((Table122110193446587082[[#This Row],[run2 times]]-$AP$3)/$AP$3)*$AO$6,2))))</f>
        <v>43.54</v>
      </c>
      <c r="AL19" s="2">
        <f>IF(OR(Table122110193446587082[[#This Row],[run 1 times]]="",Table122110193446587082[[#This Row],[run2 times]]=""),"",Table122110193446587082[[#This Row],[run 1 times]]+Table122110193446587082[[#This Row],[run2 times]])</f>
        <v>1.2118055555555556E-3</v>
      </c>
      <c r="AM19" s="3">
        <f>IF(Table122110193446587082[[#This Row],[total time]]="",999.99,IF(Table122110193446587082[[#This Row],[total time]]=$AQ$3,0,MAX(0,ROUND(((Table122110193446587082[[#This Row],[total time]]-$AQ$3)/$AQ$3)*$AO$6,2))))</f>
        <v>18.88</v>
      </c>
    </row>
    <row r="20" spans="1:39" x14ac:dyDescent="0.3">
      <c r="A20">
        <v>4</v>
      </c>
      <c r="B20">
        <v>4</v>
      </c>
      <c r="C20" t="s">
        <v>223</v>
      </c>
      <c r="D20" t="s">
        <v>480</v>
      </c>
      <c r="E20" t="s">
        <v>501</v>
      </c>
      <c r="G20">
        <v>59.96</v>
      </c>
      <c r="H20" s="5">
        <v>7.8240740740740734E-4</v>
      </c>
      <c r="I20" s="5">
        <v>1.4756944444444444E-3</v>
      </c>
      <c r="K20">
        <v>107911</v>
      </c>
      <c r="L20" s="2">
        <f>_xlfn.LET(_xlpm.x,Table127163143556779[[#This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6.9398148148148151E-4</v>
      </c>
      <c r="M20" s="3">
        <f>IF(Table127163143556779[[#This Row],[run 1 times]]="",999.99,IF(Table127163143556779[[#This Row],[run 1 times]]=$S$3,0,MAX(0,ROUND(((Table127163143556779[[#This Row],[run 1 times]]-$S$3)/$S$3)*$S$6,2))))</f>
        <v>213.13</v>
      </c>
      <c r="N20" s="2">
        <f>_xlfn.LET(_xlpm.x,Table127163143556779[[#This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7.8240740740740734E-4</v>
      </c>
      <c r="O20" s="3">
        <f>IF(Table127163143556779[[#This Row],[run2 times]]="",999.99,IF(Table127163143556779[[#This Row],[run2 times]]=$T$3,0,MAX(0,ROUND(((Table127163143556779[[#This Row],[run2 times]]-$T$3)/$T$3)*$S$6,2))))</f>
        <v>228.03</v>
      </c>
      <c r="P20" s="2">
        <f>IF(OR(Table127163143556779[[#This Row],[run 1 times]]="",Table127163143556779[[#This Row],[run2 times]]=""),"",Table127163143556779[[#This Row],[run 1 times]]+Table127163143556779[[#This Row],[run2 times]])</f>
        <v>1.4763888888888888E-3</v>
      </c>
      <c r="Q20" s="3">
        <f>IF(Table127163143556779[[#This Row],[total time]]="",999.99,IF(Table127163143556779[[#This Row],[total time]]=$U$3,0,MAX(0,ROUND(((Table127163143556779[[#This Row],[total time]]-$U$3)/$U$3)*$S$6,2))))</f>
        <v>216.91</v>
      </c>
      <c r="W20">
        <v>1</v>
      </c>
      <c r="X20">
        <v>55</v>
      </c>
      <c r="Y20" t="s">
        <v>223</v>
      </c>
      <c r="Z20" t="s">
        <v>552</v>
      </c>
      <c r="AA20" t="s">
        <v>900</v>
      </c>
      <c r="AB20">
        <v>2008</v>
      </c>
      <c r="AC20">
        <v>54.9</v>
      </c>
      <c r="AD20" s="5">
        <v>7.0057870370370369E-4</v>
      </c>
      <c r="AE20" s="5">
        <v>1.3359953703703704E-3</v>
      </c>
      <c r="AG20">
        <v>89136</v>
      </c>
      <c r="AH20" s="2">
        <f>_xlfn.LET(_xlpm.x,Table122110193446587082[[#This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6.3541666666666662E-4</v>
      </c>
      <c r="AI20" s="3">
        <f>IF(Table122110193446587082[[#This Row],[run 1 times]]="",999.99,IF(Table122110193446587082[[#This Row],[run 1 times]]=$AO$3,0,MAX(0,ROUND(((Table122110193446587082[[#This Row],[run 1 times]]-$AO$3)/$AO$3)*$AO$6,2))))</f>
        <v>86.23</v>
      </c>
      <c r="AJ20" s="2">
        <f>_xlfn.LET(_xlpm.x,Table122110193446587082[[#This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7.0057870370370369E-4</v>
      </c>
      <c r="AK20" s="3">
        <f>IF(Table122110193446587082[[#This Row],[run2 times]]="",999.99,IF(Table122110193446587082[[#This Row],[run2 times]]=$AP$3,0,MAX(0,ROUND(((Table122110193446587082[[#This Row],[run2 times]]-$AP$3)/$AP$3)*$AO$6,2))))</f>
        <v>142.74</v>
      </c>
      <c r="AL20" s="2">
        <f>IF(OR(Table122110193446587082[[#This Row],[run 1 times]]="",Table122110193446587082[[#This Row],[run2 times]]=""),"",Table122110193446587082[[#This Row],[run 1 times]]+Table122110193446587082[[#This Row],[run2 times]])</f>
        <v>1.3359953703703702E-3</v>
      </c>
      <c r="AM20" s="3">
        <f>IF(Table122110193446587082[[#This Row],[total time]]="",999.99,IF(Table122110193446587082[[#This Row],[total time]]=$AQ$3,0,MAX(0,ROUND(((Table122110193446587082[[#This Row],[total time]]-$AQ$3)/$AQ$3)*$AO$6,2))))</f>
        <v>95.63</v>
      </c>
    </row>
    <row r="21" spans="1:39" x14ac:dyDescent="0.3">
      <c r="A21">
        <v>5</v>
      </c>
      <c r="B21">
        <v>5</v>
      </c>
      <c r="C21" t="s">
        <v>257</v>
      </c>
      <c r="D21" t="s">
        <v>480</v>
      </c>
      <c r="E21" t="s">
        <v>861</v>
      </c>
      <c r="G21">
        <v>7.0949074074074068E-4</v>
      </c>
      <c r="H21" s="5">
        <v>7.6851851851851853E-4</v>
      </c>
      <c r="I21" s="5">
        <v>1.4768518518518518E-3</v>
      </c>
      <c r="K21">
        <v>120660</v>
      </c>
      <c r="L21" s="2">
        <f>_xlfn.LET(_xlpm.x,Table127163143556779[[#This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7.0949074074074068E-4</v>
      </c>
      <c r="M21" s="3">
        <f>IF(Table127163143556779[[#This Row],[run 1 times]]="",999.99,IF(Table127163143556779[[#This Row],[run 1 times]]=$S$3,0,MAX(0,ROUND(((Table127163143556779[[#This Row],[run 1 times]]-$S$3)/$S$3)*$S$6,2))))</f>
        <v>234.21</v>
      </c>
      <c r="N21" s="2">
        <f>_xlfn.LET(_xlpm.x,Table127163143556779[[#This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7.6851851851851853E-4</v>
      </c>
      <c r="O21" s="3">
        <f>IF(Table127163143556779[[#This Row],[run2 times]]="",999.99,IF(Table127163143556779[[#This Row],[run2 times]]=$T$3,0,MAX(0,ROUND(((Table127163143556779[[#This Row],[run2 times]]-$T$3)/$T$3)*$S$6,2))))</f>
        <v>211.02</v>
      </c>
      <c r="P21" s="2">
        <f>IF(OR(Table127163143556779[[#This Row],[run 1 times]]="",Table127163143556779[[#This Row],[run2 times]]=""),"",Table127163143556779[[#This Row],[run 1 times]]+Table127163143556779[[#This Row],[run2 times]])</f>
        <v>1.4780092592592592E-3</v>
      </c>
      <c r="Q21" s="3">
        <f>IF(Table127163143556779[[#This Row],[total time]]="",999.99,IF(Table127163143556779[[#This Row],[total time]]=$U$3,0,MAX(0,ROUND(((Table127163143556779[[#This Row],[total time]]-$U$3)/$U$3)*$S$6,2))))</f>
        <v>217.95</v>
      </c>
      <c r="W21">
        <v>12</v>
      </c>
      <c r="X21">
        <v>66</v>
      </c>
      <c r="Y21" t="s">
        <v>24</v>
      </c>
      <c r="Z21" t="s">
        <v>552</v>
      </c>
      <c r="AA21" t="s">
        <v>559</v>
      </c>
      <c r="AB21">
        <v>2009</v>
      </c>
      <c r="AC21">
        <v>57.1</v>
      </c>
      <c r="AD21" s="5">
        <v>6.9895833333333333E-4</v>
      </c>
      <c r="AE21" s="5">
        <v>1.3598379629629631E-3</v>
      </c>
      <c r="AG21">
        <v>91622</v>
      </c>
      <c r="AH21" s="2">
        <f>_xlfn.LET(_xlpm.x,Table122110193446587082[[#This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6.6087962962962964E-4</v>
      </c>
      <c r="AI21" s="3">
        <f>IF(Table122110193446587082[[#This Row],[run 1 times]]="",999.99,IF(Table122110193446587082[[#This Row],[run 1 times]]=$AO$3,0,MAX(0,ROUND(((Table122110193446587082[[#This Row],[run 1 times]]-$AO$3)/$AO$3)*$AO$6,2))))</f>
        <v>118.94</v>
      </c>
      <c r="AJ21" s="2">
        <f>_xlfn.LET(_xlpm.x,Table122110193446587082[[#This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6.9895833333333333E-4</v>
      </c>
      <c r="AK21" s="3">
        <f>IF(Table122110193446587082[[#This Row],[run2 times]]="",999.99,IF(Table122110193446587082[[#This Row],[run2 times]]=$AP$3,0,MAX(0,ROUND(((Table122110193446587082[[#This Row],[run2 times]]-$AP$3)/$AP$3)*$AO$6,2))))</f>
        <v>140.72</v>
      </c>
      <c r="AL21" s="2">
        <f>IF(OR(Table122110193446587082[[#This Row],[run 1 times]]="",Table122110193446587082[[#This Row],[run2 times]]=""),"",Table122110193446587082[[#This Row],[run 1 times]]+Table122110193446587082[[#This Row],[run2 times]])</f>
        <v>1.3598379629629629E-3</v>
      </c>
      <c r="AM21" s="3">
        <f>IF(Table122110193446587082[[#This Row],[total time]]="",999.99,IF(Table122110193446587082[[#This Row],[total time]]=$AQ$3,0,MAX(0,ROUND(((Table122110193446587082[[#This Row],[total time]]-$AQ$3)/$AQ$3)*$AO$6,2))))</f>
        <v>110.37</v>
      </c>
    </row>
    <row r="22" spans="1:39" x14ac:dyDescent="0.3">
      <c r="A22">
        <v>13</v>
      </c>
      <c r="B22">
        <v>13</v>
      </c>
      <c r="C22" t="s">
        <v>373</v>
      </c>
      <c r="D22" t="s">
        <v>480</v>
      </c>
      <c r="E22" t="s">
        <v>503</v>
      </c>
      <c r="F22">
        <v>2014</v>
      </c>
      <c r="G22" s="5">
        <v>7.0254629629629638E-4</v>
      </c>
      <c r="H22">
        <v>8.0787037037037036E-4</v>
      </c>
      <c r="I22">
        <v>1.5092592592592592E-3</v>
      </c>
      <c r="K22">
        <v>112386</v>
      </c>
      <c r="L22" s="2">
        <f>_xlfn.LET(_xlpm.x,Table127163143556779[[#This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7.0254629629629638E-4</v>
      </c>
      <c r="M22" s="3">
        <f>IF(Table127163143556779[[#This Row],[run 1 times]]="",999.99,IF(Table127163143556779[[#This Row],[run 1 times]]=$S$3,0,MAX(0,ROUND(((Table127163143556779[[#This Row],[run 1 times]]-$S$3)/$S$3)*$S$6,2))))</f>
        <v>224.77</v>
      </c>
      <c r="N22" s="2">
        <f>_xlfn.LET(_xlpm.x,Table127163143556779[[#This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8.0787037037037036E-4</v>
      </c>
      <c r="O22" s="3">
        <f>IF(Table127163143556779[[#This Row],[run2 times]]="",999.99,IF(Table127163143556779[[#This Row],[run2 times]]=$T$3,0,MAX(0,ROUND(((Table127163143556779[[#This Row],[run2 times]]-$T$3)/$T$3)*$S$6,2))))</f>
        <v>259.20999999999998</v>
      </c>
      <c r="P22" s="2">
        <f>IF(OR(Table127163143556779[[#This Row],[run 1 times]]="",Table127163143556779[[#This Row],[run2 times]]=""),"",Table127163143556779[[#This Row],[run 1 times]]+Table127163143556779[[#This Row],[run2 times]])</f>
        <v>1.5104166666666669E-3</v>
      </c>
      <c r="Q22" s="3">
        <f>IF(Table127163143556779[[#This Row],[total time]]="",999.99,IF(Table127163143556779[[#This Row],[total time]]=$U$3,0,MAX(0,ROUND(((Table127163143556779[[#This Row],[total time]]-$U$3)/$U$3)*$S$6,2))))</f>
        <v>238.73</v>
      </c>
      <c r="W22">
        <v>7</v>
      </c>
      <c r="X22">
        <v>61</v>
      </c>
      <c r="Y22" t="s">
        <v>257</v>
      </c>
      <c r="Z22" t="s">
        <v>552</v>
      </c>
      <c r="AA22" t="s">
        <v>567</v>
      </c>
      <c r="AB22">
        <v>2009</v>
      </c>
      <c r="AC22" s="5">
        <v>7.2650462962962968E-4</v>
      </c>
      <c r="AD22" t="s">
        <v>512</v>
      </c>
      <c r="AG22">
        <v>117692</v>
      </c>
      <c r="AH22" s="2">
        <f>_xlfn.LET(_xlpm.x,Table122110193446587082[[#This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7.2650462962962968E-4</v>
      </c>
      <c r="AI22" s="3">
        <f>IF(Table122110193446587082[[#This Row],[run 1 times]]="",999.99,IF(Table122110193446587082[[#This Row],[run 1 times]]=$AO$3,0,MAX(0,ROUND(((Table122110193446587082[[#This Row],[run 1 times]]-$AO$3)/$AO$3)*$AO$6,2))))</f>
        <v>203.24</v>
      </c>
      <c r="AJ22" s="2" t="str">
        <f>_xlfn.LET(_xlpm.x,Table122110193446587082[[#This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22" s="3">
        <f>IF(Table122110193446587082[[#This Row],[run2 times]]="",999.99,IF(Table122110193446587082[[#This Row],[run2 times]]=$AP$3,0,MAX(0,ROUND(((Table122110193446587082[[#This Row],[run2 times]]-$AP$3)/$AP$3)*$AO$6,2))))</f>
        <v>999.99</v>
      </c>
      <c r="AL22" s="2" t="str">
        <f>IF(OR(Table122110193446587082[[#This Row],[run 1 times]]="",Table122110193446587082[[#This Row],[run2 times]]=""),"",Table122110193446587082[[#This Row],[run 1 times]]+Table122110193446587082[[#This Row],[run2 times]])</f>
        <v/>
      </c>
      <c r="AM22" s="3">
        <f>IF(Table122110193446587082[[#This Row],[total time]]="",999.99,IF(Table122110193446587082[[#This Row],[total time]]=$AQ$3,0,MAX(0,ROUND(((Table122110193446587082[[#This Row],[total time]]-$AQ$3)/$AQ$3)*$AO$6,2))))</f>
        <v>999.99</v>
      </c>
    </row>
    <row r="23" spans="1:39" x14ac:dyDescent="0.3">
      <c r="A23">
        <v>15</v>
      </c>
      <c r="B23">
        <v>15</v>
      </c>
      <c r="C23" t="s">
        <v>257</v>
      </c>
      <c r="D23" t="s">
        <v>480</v>
      </c>
      <c r="E23" t="s">
        <v>865</v>
      </c>
      <c r="G23" s="1">
        <v>7.245370370370371E-4</v>
      </c>
      <c r="H23" s="1">
        <v>7.9629629629629625E-4</v>
      </c>
      <c r="I23" s="5">
        <v>1.5219907407407406E-3</v>
      </c>
      <c r="K23">
        <v>119074</v>
      </c>
      <c r="L23" s="2">
        <f>_xlfn.LET(_xlpm.x,Table127163143556779[[#This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7.245370370370371E-4</v>
      </c>
      <c r="M23" s="3">
        <f>IF(Table127163143556779[[#This Row],[run 1 times]]="",999.99,IF(Table127163143556779[[#This Row],[run 1 times]]=$S$3,0,MAX(0,ROUND(((Table127163143556779[[#This Row],[run 1 times]]-$S$3)/$S$3)*$S$6,2))))</f>
        <v>254.66</v>
      </c>
      <c r="N23" s="2">
        <f>_xlfn.LET(_xlpm.x,Table127163143556779[[#This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7.9629629629629625E-4</v>
      </c>
      <c r="O23" s="3">
        <f>IF(Table127163143556779[[#This Row],[run2 times]]="",999.99,IF(Table127163143556779[[#This Row],[run2 times]]=$T$3,0,MAX(0,ROUND(((Table127163143556779[[#This Row],[run2 times]]-$T$3)/$T$3)*$S$6,2))))</f>
        <v>245.03</v>
      </c>
      <c r="P23" s="2">
        <f>IF(OR(Table127163143556779[[#This Row],[run 1 times]]="",Table127163143556779[[#This Row],[run2 times]]=""),"",Table127163143556779[[#This Row],[run 1 times]]+Table127163143556779[[#This Row],[run2 times]])</f>
        <v>1.5208333333333332E-3</v>
      </c>
      <c r="Q23" s="3">
        <f>IF(Table127163143556779[[#This Row],[total time]]="",999.99,IF(Table127163143556779[[#This Row],[total time]]=$U$3,0,MAX(0,ROUND(((Table127163143556779[[#This Row],[total time]]-$U$3)/$U$3)*$S$6,2))))</f>
        <v>245.41</v>
      </c>
    </row>
    <row r="24" spans="1:39" x14ac:dyDescent="0.3">
      <c r="A24">
        <v>17</v>
      </c>
      <c r="B24">
        <v>17</v>
      </c>
      <c r="C24" t="s">
        <v>257</v>
      </c>
      <c r="D24" t="s">
        <v>480</v>
      </c>
      <c r="E24" t="s">
        <v>493</v>
      </c>
      <c r="G24" s="1">
        <v>7.395833333333333E-4</v>
      </c>
      <c r="H24" s="1">
        <v>7.9282407407407405E-4</v>
      </c>
      <c r="I24" s="5">
        <v>1.5324074074074075E-3</v>
      </c>
      <c r="K24">
        <v>120668</v>
      </c>
      <c r="L24" s="2">
        <f>_xlfn.LET(_xlpm.x,Table127163143556779[[#This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7.395833333333333E-4</v>
      </c>
      <c r="M24" s="3">
        <f>IF(Table127163143556779[[#This Row],[run 1 times]]="",999.99,IF(Table127163143556779[[#This Row],[run 1 times]]=$S$3,0,MAX(0,ROUND(((Table127163143556779[[#This Row],[run 1 times]]-$S$3)/$S$3)*$S$6,2))))</f>
        <v>275.11</v>
      </c>
      <c r="N24" s="2">
        <f>_xlfn.LET(_xlpm.x,Table127163143556779[[#This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7.9282407407407405E-4</v>
      </c>
      <c r="O24" s="3">
        <f>IF(Table127163143556779[[#This Row],[run2 times]]="",999.99,IF(Table127163143556779[[#This Row],[run2 times]]=$T$3,0,MAX(0,ROUND(((Table127163143556779[[#This Row],[run2 times]]-$T$3)/$T$3)*$S$6,2))))</f>
        <v>240.78</v>
      </c>
      <c r="P24" s="2">
        <f>IF(OR(Table127163143556779[[#This Row],[run 1 times]]="",Table127163143556779[[#This Row],[run2 times]]=""),"",Table127163143556779[[#This Row],[run 1 times]]+Table127163143556779[[#This Row],[run2 times]])</f>
        <v>1.5324074074074072E-3</v>
      </c>
      <c r="Q24" s="3">
        <f>IF(Table127163143556779[[#This Row],[total time]]="",999.99,IF(Table127163143556779[[#This Row],[total time]]=$U$3,0,MAX(0,ROUND(((Table127163143556779[[#This Row],[total time]]-$U$3)/$U$3)*$S$6,2))))</f>
        <v>252.84</v>
      </c>
    </row>
    <row r="25" spans="1:39" x14ac:dyDescent="0.3">
      <c r="A25">
        <v>23</v>
      </c>
      <c r="B25">
        <v>23</v>
      </c>
      <c r="C25" t="s">
        <v>24</v>
      </c>
      <c r="D25" t="s">
        <v>480</v>
      </c>
      <c r="E25" t="s">
        <v>901</v>
      </c>
      <c r="G25" s="1">
        <v>7.407407407407407E-4</v>
      </c>
      <c r="H25" s="1">
        <v>8.1481481481481487E-4</v>
      </c>
      <c r="I25" s="5">
        <v>1.5555555555555557E-3</v>
      </c>
      <c r="K25">
        <v>114606</v>
      </c>
      <c r="L25" s="2">
        <f>_xlfn.LET(_xlpm.x,Table127163143556779[[#This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7.407407407407407E-4</v>
      </c>
      <c r="M25" s="3">
        <f>IF(Table127163143556779[[#This Row],[run 1 times]]="",999.99,IF(Table127163143556779[[#This Row],[run 1 times]]=$S$3,0,MAX(0,ROUND(((Table127163143556779[[#This Row],[run 1 times]]-$S$3)/$S$3)*$S$6,2))))</f>
        <v>276.68</v>
      </c>
      <c r="N25" s="2">
        <f>_xlfn.LET(_xlpm.x,Table127163143556779[[#This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8.1481481481481487E-4</v>
      </c>
      <c r="O25" s="3">
        <f>IF(Table127163143556779[[#This Row],[run2 times]]="",999.99,IF(Table127163143556779[[#This Row],[run2 times]]=$T$3,0,MAX(0,ROUND(((Table127163143556779[[#This Row],[run2 times]]-$T$3)/$T$3)*$S$6,2))))</f>
        <v>267.70999999999998</v>
      </c>
      <c r="P25" s="2">
        <f>IF(OR(Table127163143556779[[#This Row],[run 1 times]]="",Table127163143556779[[#This Row],[run2 times]]=""),"",Table127163143556779[[#This Row],[run 1 times]]+Table127163143556779[[#This Row],[run2 times]])</f>
        <v>1.5555555555555557E-3</v>
      </c>
      <c r="Q25" s="3">
        <f>IF(Table127163143556779[[#This Row],[total time]]="",999.99,IF(Table127163143556779[[#This Row],[total time]]=$U$3,0,MAX(0,ROUND(((Table127163143556779[[#This Row],[total time]]-$U$3)/$U$3)*$S$6,2))))</f>
        <v>267.68</v>
      </c>
    </row>
    <row r="26" spans="1:39" x14ac:dyDescent="0.3">
      <c r="A26">
        <v>12</v>
      </c>
      <c r="B26">
        <v>12</v>
      </c>
      <c r="C26" t="s">
        <v>257</v>
      </c>
      <c r="D26" t="s">
        <v>522</v>
      </c>
      <c r="E26" t="s">
        <v>535</v>
      </c>
      <c r="F26">
        <v>2012</v>
      </c>
      <c r="G26" s="1">
        <v>7.407407407407407E-4</v>
      </c>
      <c r="H26" s="1">
        <v>8.1712962962962956E-4</v>
      </c>
      <c r="I26" s="5">
        <v>1.5578703703703703E-3</v>
      </c>
      <c r="K26">
        <v>117000</v>
      </c>
      <c r="L26" s="2">
        <f>_xlfn.LET(_xlpm.x,Table127163143556779[[#This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7.407407407407407E-4</v>
      </c>
      <c r="M26" s="3">
        <f>IF(Table127163143556779[[#This Row],[run 1 times]]="",999.99,IF(Table127163143556779[[#This Row],[run 1 times]]=$S$3,0,MAX(0,ROUND(((Table127163143556779[[#This Row],[run 1 times]]-$S$3)/$S$3)*$S$6,2))))</f>
        <v>276.68</v>
      </c>
      <c r="N26" s="2">
        <f>_xlfn.LET(_xlpm.x,Table127163143556779[[#This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8.1712962962962956E-4</v>
      </c>
      <c r="O26" s="3">
        <f>IF(Table127163143556779[[#This Row],[run2 times]]="",999.99,IF(Table127163143556779[[#This Row],[run2 times]]=$T$3,0,MAX(0,ROUND(((Table127163143556779[[#This Row],[run2 times]]-$T$3)/$T$3)*$S$6,2))))</f>
        <v>270.54000000000002</v>
      </c>
      <c r="P26" s="2">
        <f>IF(OR(Table127163143556779[[#This Row],[run 1 times]]="",Table127163143556779[[#This Row],[run2 times]]=""),"",Table127163143556779[[#This Row],[run 1 times]]+Table127163143556779[[#This Row],[run2 times]])</f>
        <v>1.5578703703703703E-3</v>
      </c>
      <c r="Q26" s="3">
        <f>IF(Table127163143556779[[#This Row],[total time]]="",999.99,IF(Table127163143556779[[#This Row],[total time]]=$U$3,0,MAX(0,ROUND(((Table127163143556779[[#This Row],[total time]]-$U$3)/$U$3)*$S$6,2))))</f>
        <v>269.17</v>
      </c>
    </row>
    <row r="27" spans="1:39" x14ac:dyDescent="0.3">
      <c r="A27">
        <v>28</v>
      </c>
      <c r="B27">
        <v>28</v>
      </c>
      <c r="C27" t="s">
        <v>257</v>
      </c>
      <c r="D27" t="s">
        <v>480</v>
      </c>
      <c r="E27" t="s">
        <v>505</v>
      </c>
      <c r="G27" s="1">
        <v>7.4768518518518511E-4</v>
      </c>
      <c r="H27" s="1">
        <v>8.1944444444444437E-4</v>
      </c>
      <c r="I27" s="5">
        <v>1.5671296296296297E-3</v>
      </c>
      <c r="K27">
        <v>119081</v>
      </c>
      <c r="L27" s="2">
        <f>_xlfn.LET(_xlpm.x,Table127163143556779[[#This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7.4768518518518511E-4</v>
      </c>
      <c r="M27" s="3">
        <f>IF(Table127163143556779[[#This Row],[run 1 times]]="",999.99,IF(Table127163143556779[[#This Row],[run 1 times]]=$S$3,0,MAX(0,ROUND(((Table127163143556779[[#This Row],[run 1 times]]-$S$3)/$S$3)*$S$6,2))))</f>
        <v>286.12</v>
      </c>
      <c r="N27" s="2">
        <f>_xlfn.LET(_xlpm.x,Table127163143556779[[#This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8.1944444444444437E-4</v>
      </c>
      <c r="O27" s="3">
        <f>IF(Table127163143556779[[#This Row],[run2 times]]="",999.99,IF(Table127163143556779[[#This Row],[run2 times]]=$T$3,0,MAX(0,ROUND(((Table127163143556779[[#This Row],[run2 times]]-$T$3)/$T$3)*$S$6,2))))</f>
        <v>273.38</v>
      </c>
      <c r="P27" s="2">
        <f>IF(OR(Table127163143556779[[#This Row],[run 1 times]]="",Table127163143556779[[#This Row],[run2 times]]=""),"",Table127163143556779[[#This Row],[run 1 times]]+Table127163143556779[[#This Row],[run2 times]])</f>
        <v>1.5671296296296295E-3</v>
      </c>
      <c r="Q27" s="3">
        <f>IF(Table127163143556779[[#This Row],[total time]]="",999.99,IF(Table127163143556779[[#This Row],[total time]]=$U$3,0,MAX(0,ROUND(((Table127163143556779[[#This Row],[total time]]-$U$3)/$U$3)*$S$6,2))))</f>
        <v>275.10000000000002</v>
      </c>
    </row>
    <row r="28" spans="1:39" x14ac:dyDescent="0.3">
      <c r="A28">
        <v>9</v>
      </c>
      <c r="B28">
        <v>9</v>
      </c>
      <c r="C28" t="s">
        <v>373</v>
      </c>
      <c r="D28" t="s">
        <v>480</v>
      </c>
      <c r="E28" t="s">
        <v>902</v>
      </c>
      <c r="F28">
        <v>2014</v>
      </c>
      <c r="G28" s="1">
        <v>7.407407407407407E-4</v>
      </c>
      <c r="H28" s="1">
        <v>8.3217592592592599E-4</v>
      </c>
      <c r="I28" s="5">
        <v>1.5729166666666667E-3</v>
      </c>
      <c r="K28">
        <v>112392</v>
      </c>
      <c r="L28" s="2">
        <f>_xlfn.LET(_xlpm.x,Table127163143556779[[#This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7.407407407407407E-4</v>
      </c>
      <c r="M28" s="3">
        <f>IF(Table127163143556779[[#This Row],[run 1 times]]="",999.99,IF(Table127163143556779[[#This Row],[run 1 times]]=$S$3,0,MAX(0,ROUND(((Table127163143556779[[#This Row],[run 1 times]]-$S$3)/$S$3)*$S$6,2))))</f>
        <v>276.68</v>
      </c>
      <c r="N28" s="2">
        <f>_xlfn.LET(_xlpm.x,Table127163143556779[[#This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8.3217592592592599E-4</v>
      </c>
      <c r="O28" s="3">
        <f>IF(Table127163143556779[[#This Row],[run2 times]]="",999.99,IF(Table127163143556779[[#This Row],[run2 times]]=$T$3,0,MAX(0,ROUND(((Table127163143556779[[#This Row],[run2 times]]-$T$3)/$T$3)*$S$6,2))))</f>
        <v>288.97000000000003</v>
      </c>
      <c r="P28" s="2">
        <f>IF(OR(Table127163143556779[[#This Row],[run 1 times]]="",Table127163143556779[[#This Row],[run2 times]]=""),"",Table127163143556779[[#This Row],[run 1 times]]+Table127163143556779[[#This Row],[run2 times]])</f>
        <v>1.5729166666666667E-3</v>
      </c>
      <c r="Q28" s="3">
        <f>IF(Table127163143556779[[#This Row],[total time]]="",999.99,IF(Table127163143556779[[#This Row],[total time]]=$U$3,0,MAX(0,ROUND(((Table127163143556779[[#This Row],[total time]]-$U$3)/$U$3)*$S$6,2))))</f>
        <v>278.82</v>
      </c>
    </row>
    <row r="29" spans="1:39" x14ac:dyDescent="0.3">
      <c r="A29">
        <v>1</v>
      </c>
      <c r="B29">
        <v>1</v>
      </c>
      <c r="C29" t="s">
        <v>24</v>
      </c>
      <c r="D29" t="s">
        <v>480</v>
      </c>
      <c r="E29" t="s">
        <v>517</v>
      </c>
      <c r="G29" s="1">
        <v>7.5231481481481482E-4</v>
      </c>
      <c r="H29" s="1">
        <v>8.4143518518518519E-4</v>
      </c>
      <c r="I29" s="5">
        <v>1.5937499999999999E-3</v>
      </c>
      <c r="K29">
        <v>109934</v>
      </c>
      <c r="L29" s="2">
        <f>_xlfn.LET(_xlpm.x,Table127163143556779[[#This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7.5231481481481482E-4</v>
      </c>
      <c r="M29" s="3">
        <f>IF(Table127163143556779[[#This Row],[run 1 times]]="",999.99,IF(Table127163143556779[[#This Row],[run 1 times]]=$S$3,0,MAX(0,ROUND(((Table127163143556779[[#This Row],[run 1 times]]-$S$3)/$S$3)*$S$6,2))))</f>
        <v>292.41000000000003</v>
      </c>
      <c r="N29" s="2">
        <f>_xlfn.LET(_xlpm.x,Table127163143556779[[#This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8.4143518518518519E-4</v>
      </c>
      <c r="O29" s="3">
        <f>IF(Table127163143556779[[#This Row],[run2 times]]="",999.99,IF(Table127163143556779[[#This Row],[run2 times]]=$T$3,0,MAX(0,ROUND(((Table127163143556779[[#This Row],[run2 times]]-$T$3)/$T$3)*$S$6,2))))</f>
        <v>300.3</v>
      </c>
      <c r="P29" s="2">
        <f>IF(OR(Table127163143556779[[#This Row],[run 1 times]]="",Table127163143556779[[#This Row],[run2 times]]=""),"",Table127163143556779[[#This Row],[run 1 times]]+Table127163143556779[[#This Row],[run2 times]])</f>
        <v>1.5937500000000001E-3</v>
      </c>
      <c r="Q29" s="3">
        <f>IF(Table127163143556779[[#This Row],[total time]]="",999.99,IF(Table127163143556779[[#This Row],[total time]]=$U$3,0,MAX(0,ROUND(((Table127163143556779[[#This Row],[total time]]-$U$3)/$U$3)*$S$6,2))))</f>
        <v>292.18</v>
      </c>
    </row>
    <row r="30" spans="1:39" x14ac:dyDescent="0.3">
      <c r="A30">
        <v>11</v>
      </c>
      <c r="B30">
        <v>11</v>
      </c>
      <c r="C30" t="s">
        <v>24</v>
      </c>
      <c r="D30" t="s">
        <v>480</v>
      </c>
      <c r="E30" t="s">
        <v>498</v>
      </c>
      <c r="G30" s="1">
        <v>7.407407407407407E-4</v>
      </c>
      <c r="H30" s="1">
        <v>8.530092592592593E-4</v>
      </c>
      <c r="I30" s="5">
        <v>1.5937499999999999E-3</v>
      </c>
      <c r="K30">
        <v>108671</v>
      </c>
      <c r="L30" s="2">
        <f>_xlfn.LET(_xlpm.x,Table127163143556779[[#This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7.407407407407407E-4</v>
      </c>
      <c r="M30" s="3">
        <f>IF(Table127163143556779[[#This Row],[run 1 times]]="",999.99,IF(Table127163143556779[[#This Row],[run 1 times]]=$S$3,0,MAX(0,ROUND(((Table127163143556779[[#This Row],[run 1 times]]-$S$3)/$S$3)*$S$6,2))))</f>
        <v>276.68</v>
      </c>
      <c r="N30" s="2">
        <f>_xlfn.LET(_xlpm.x,Table127163143556779[[#This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8.530092592592593E-4</v>
      </c>
      <c r="O30" s="3">
        <f>IF(Table127163143556779[[#This Row],[run2 times]]="",999.99,IF(Table127163143556779[[#This Row],[run2 times]]=$T$3,0,MAX(0,ROUND(((Table127163143556779[[#This Row],[run2 times]]-$T$3)/$T$3)*$S$6,2))))</f>
        <v>314.48</v>
      </c>
      <c r="P30" s="2">
        <f>IF(OR(Table127163143556779[[#This Row],[run 1 times]]="",Table127163143556779[[#This Row],[run2 times]]=""),"",Table127163143556779[[#This Row],[run 1 times]]+Table127163143556779[[#This Row],[run2 times]])</f>
        <v>1.5937500000000001E-3</v>
      </c>
      <c r="Q30" s="3">
        <f>IF(Table127163143556779[[#This Row],[total time]]="",999.99,IF(Table127163143556779[[#This Row],[total time]]=$U$3,0,MAX(0,ROUND(((Table127163143556779[[#This Row],[total time]]-$U$3)/$U$3)*$S$6,2))))</f>
        <v>292.18</v>
      </c>
    </row>
    <row r="31" spans="1:39" x14ac:dyDescent="0.3">
      <c r="A31">
        <v>16</v>
      </c>
      <c r="B31">
        <v>16</v>
      </c>
      <c r="C31" t="s">
        <v>257</v>
      </c>
      <c r="D31" t="s">
        <v>522</v>
      </c>
      <c r="E31" t="s">
        <v>536</v>
      </c>
      <c r="F31">
        <v>2013</v>
      </c>
      <c r="G31" s="1">
        <v>8.4027777777777768E-4</v>
      </c>
      <c r="H31" s="1">
        <v>9.2361111111111105E-4</v>
      </c>
      <c r="I31" s="5">
        <v>1.7638888888888891E-3</v>
      </c>
      <c r="K31">
        <v>107310</v>
      </c>
      <c r="L31" s="2">
        <f>_xlfn.LET(_xlpm.x,Table127163143556779[[#This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8.4027777777777768E-4</v>
      </c>
      <c r="M31" s="3">
        <f>IF(Table127163143556779[[#This Row],[run 1 times]]="",999.99,IF(Table127163143556779[[#This Row],[run 1 times]]=$S$3,0,MAX(0,ROUND(((Table127163143556779[[#This Row],[run 1 times]]-$S$3)/$S$3)*$S$6,2))))</f>
        <v>411.95</v>
      </c>
      <c r="N31" s="2">
        <f>_xlfn.LET(_xlpm.x,Table127163143556779[[#This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9.2361111111111105E-4</v>
      </c>
      <c r="O31" s="3">
        <f>IF(Table127163143556779[[#This Row],[run2 times]]="",999.99,IF(Table127163143556779[[#This Row],[run2 times]]=$T$3,0,MAX(0,ROUND(((Table127163143556779[[#This Row],[run2 times]]-$T$3)/$T$3)*$S$6,2))))</f>
        <v>400.93</v>
      </c>
      <c r="P31" s="2">
        <f>IF(OR(Table127163143556779[[#This Row],[run 1 times]]="",Table127163143556779[[#This Row],[run2 times]]=""),"",Table127163143556779[[#This Row],[run 1 times]]+Table127163143556779[[#This Row],[run2 times]])</f>
        <v>1.7638888888888886E-3</v>
      </c>
      <c r="Q31" s="3">
        <f>IF(Table127163143556779[[#This Row],[total time]]="",999.99,IF(Table127163143556779[[#This Row],[total time]]=$U$3,0,MAX(0,ROUND(((Table127163143556779[[#This Row],[total time]]-$U$3)/$U$3)*$S$6,2))))</f>
        <v>401.3</v>
      </c>
    </row>
    <row r="32" spans="1:39" x14ac:dyDescent="0.3">
      <c r="A32">
        <v>2</v>
      </c>
      <c r="B32">
        <v>2</v>
      </c>
      <c r="C32" t="s">
        <v>257</v>
      </c>
      <c r="D32" t="s">
        <v>480</v>
      </c>
      <c r="E32" t="s">
        <v>864</v>
      </c>
      <c r="G32" s="1">
        <v>8.2986111111111119E-4</v>
      </c>
      <c r="H32" s="1">
        <v>9.4097222222222217E-4</v>
      </c>
      <c r="I32" s="5">
        <v>1.7708333333333332E-3</v>
      </c>
      <c r="K32">
        <v>124080</v>
      </c>
      <c r="L32" s="2">
        <f>_xlfn.LET(_xlpm.x,Table127163143556779[[#This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8.2986111111111119E-4</v>
      </c>
      <c r="M32" s="3">
        <f>IF(Table127163143556779[[#This Row],[run 1 times]]="",999.99,IF(Table127163143556779[[#This Row],[run 1 times]]=$S$3,0,MAX(0,ROUND(((Table127163143556779[[#This Row],[run 1 times]]-$S$3)/$S$3)*$S$6,2))))</f>
        <v>397.8</v>
      </c>
      <c r="N32" s="2">
        <f>_xlfn.LET(_xlpm.x,Table127163143556779[[#This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9.4097222222222217E-4</v>
      </c>
      <c r="O32" s="3">
        <f>IF(Table127163143556779[[#This Row],[run2 times]]="",999.99,IF(Table127163143556779[[#This Row],[run2 times]]=$T$3,0,MAX(0,ROUND(((Table127163143556779[[#This Row],[run2 times]]-$T$3)/$T$3)*$S$6,2))))</f>
        <v>422.18</v>
      </c>
      <c r="P32" s="2">
        <f>IF(OR(Table127163143556779[[#This Row],[run 1 times]]="",Table127163143556779[[#This Row],[run2 times]]=""),"",Table127163143556779[[#This Row],[run 1 times]]+Table127163143556779[[#This Row],[run2 times]])</f>
        <v>1.7708333333333335E-3</v>
      </c>
      <c r="Q32" s="3">
        <f>IF(Table127163143556779[[#This Row],[total time]]="",999.99,IF(Table127163143556779[[#This Row],[total time]]=$U$3,0,MAX(0,ROUND(((Table127163143556779[[#This Row],[total time]]-$U$3)/$U$3)*$S$6,2))))</f>
        <v>405.75</v>
      </c>
    </row>
    <row r="33" spans="1:17" x14ac:dyDescent="0.3">
      <c r="A33">
        <v>7</v>
      </c>
      <c r="B33">
        <v>7</v>
      </c>
      <c r="C33" t="s">
        <v>257</v>
      </c>
      <c r="D33" t="s">
        <v>522</v>
      </c>
      <c r="E33" t="s">
        <v>528</v>
      </c>
      <c r="F33">
        <v>2012</v>
      </c>
      <c r="G33" s="1">
        <v>49.77</v>
      </c>
      <c r="H33" s="1" t="s">
        <v>512</v>
      </c>
      <c r="I33" s="5"/>
      <c r="K33">
        <v>102713</v>
      </c>
      <c r="L33" s="2">
        <f>_xlfn.LET(_xlpm.x,Table127163143556779[[#This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5.7604166666666665E-4</v>
      </c>
      <c r="M33" s="3">
        <f>IF(Table127163143556779[[#This Row],[run 1 times]]="",999.99,IF(Table127163143556779[[#This Row],[run 1 times]]=$S$3,0,MAX(0,ROUND(((Table127163143556779[[#This Row],[run 1 times]]-$S$3)/$S$3)*$S$6,2))))</f>
        <v>52.85</v>
      </c>
      <c r="N33" s="2" t="str">
        <f>_xlfn.LET(_xlpm.x,Table127163143556779[[#This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33" s="3">
        <f>IF(Table127163143556779[[#This Row],[run2 times]]="",999.99,IF(Table127163143556779[[#This Row],[run2 times]]=$T$3,0,MAX(0,ROUND(((Table127163143556779[[#This Row],[run2 times]]-$T$3)/$T$3)*$S$6,2))))</f>
        <v>999.99</v>
      </c>
      <c r="P33" s="2" t="str">
        <f>IF(OR(Table127163143556779[[#This Row],[run 1 times]]="",Table127163143556779[[#This Row],[run2 times]]=""),"",Table127163143556779[[#This Row],[run 1 times]]+Table127163143556779[[#This Row],[run2 times]])</f>
        <v/>
      </c>
      <c r="Q33" s="3">
        <f>IF(Table127163143556779[[#This Row],[total time]]="",999.99,IF(Table127163143556779[[#This Row],[total time]]=$U$3,0,MAX(0,ROUND(((Table127163143556779[[#This Row],[total time]]-$U$3)/$U$3)*$S$6,2))))</f>
        <v>999.99</v>
      </c>
    </row>
    <row r="34" spans="1:17" x14ac:dyDescent="0.3">
      <c r="A34">
        <v>31</v>
      </c>
      <c r="B34">
        <v>31</v>
      </c>
      <c r="C34" t="s">
        <v>257</v>
      </c>
      <c r="D34" t="s">
        <v>522</v>
      </c>
      <c r="E34" t="s">
        <v>543</v>
      </c>
      <c r="F34">
        <v>2013</v>
      </c>
      <c r="G34" s="1">
        <v>56.54</v>
      </c>
      <c r="H34" s="1" t="s">
        <v>512</v>
      </c>
      <c r="I34" s="5"/>
      <c r="K34">
        <v>121965</v>
      </c>
      <c r="L34" s="2">
        <f>_xlfn.LET(_xlpm.x,Table127163143556779[[#This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6.5439814814814809E-4</v>
      </c>
      <c r="M34" s="3">
        <f>IF(Table127163143556779[[#This Row],[run 1 times]]="",999.99,IF(Table127163143556779[[#This Row],[run 1 times]]=$S$3,0,MAX(0,ROUND(((Table127163143556779[[#This Row],[run 1 times]]-$S$3)/$S$3)*$S$6,2))))</f>
        <v>159.34</v>
      </c>
      <c r="N34" s="2" t="str">
        <f>_xlfn.LET(_xlpm.x,Table127163143556779[[#This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34" s="3">
        <f>IF(Table127163143556779[[#This Row],[run2 times]]="",999.99,IF(Table127163143556779[[#This Row],[run2 times]]=$T$3,0,MAX(0,ROUND(((Table127163143556779[[#This Row],[run2 times]]-$T$3)/$T$3)*$S$6,2))))</f>
        <v>999.99</v>
      </c>
      <c r="P34" s="2" t="str">
        <f>IF(OR(Table127163143556779[[#This Row],[run 1 times]]="",Table127163143556779[[#This Row],[run2 times]]=""),"",Table127163143556779[[#This Row],[run 1 times]]+Table127163143556779[[#This Row],[run2 times]])</f>
        <v/>
      </c>
      <c r="Q34" s="3">
        <f>IF(Table127163143556779[[#This Row],[total time]]="",999.99,IF(Table127163143556779[[#This Row],[total time]]=$U$3,0,MAX(0,ROUND(((Table127163143556779[[#This Row],[total time]]-$U$3)/$U$3)*$S$6,2))))</f>
        <v>999.99</v>
      </c>
    </row>
    <row r="35" spans="1:17" x14ac:dyDescent="0.3">
      <c r="A35">
        <v>30</v>
      </c>
      <c r="B35">
        <v>30</v>
      </c>
      <c r="C35" t="s">
        <v>257</v>
      </c>
      <c r="D35" t="s">
        <v>480</v>
      </c>
      <c r="E35" t="s">
        <v>520</v>
      </c>
      <c r="G35" s="1">
        <v>7.6388888888888893E-4</v>
      </c>
      <c r="H35" s="1" t="s">
        <v>512</v>
      </c>
      <c r="I35" s="5"/>
      <c r="K35">
        <v>120665</v>
      </c>
      <c r="L35" s="2">
        <f>_xlfn.LET(_xlpm.x,Table127163143556779[[#This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7.6388888888888893E-4</v>
      </c>
      <c r="M35" s="3">
        <f>IF(Table127163143556779[[#This Row],[run 1 times]]="",999.99,IF(Table127163143556779[[#This Row],[run 1 times]]=$S$3,0,MAX(0,ROUND(((Table127163143556779[[#This Row],[run 1 times]]-$S$3)/$S$3)*$S$6,2))))</f>
        <v>308.14</v>
      </c>
      <c r="N35" s="2" t="str">
        <f>_xlfn.LET(_xlpm.x,Table127163143556779[[#This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35" s="3">
        <f>IF(Table127163143556779[[#This Row],[run2 times]]="",999.99,IF(Table127163143556779[[#This Row],[run2 times]]=$T$3,0,MAX(0,ROUND(((Table127163143556779[[#This Row],[run2 times]]-$T$3)/$T$3)*$S$6,2))))</f>
        <v>999.99</v>
      </c>
      <c r="P35" s="2" t="str">
        <f>IF(OR(Table127163143556779[[#This Row],[run 1 times]]="",Table127163143556779[[#This Row],[run2 times]]=""),"",Table127163143556779[[#This Row],[run 1 times]]+Table127163143556779[[#This Row],[run2 times]])</f>
        <v/>
      </c>
      <c r="Q35" s="3">
        <f>IF(Table127163143556779[[#This Row],[total time]]="",999.99,IF(Table127163143556779[[#This Row],[total time]]=$U$3,0,MAX(0,ROUND(((Table127163143556779[[#This Row],[total time]]-$U$3)/$U$3)*$S$6,2))))</f>
        <v>999.99</v>
      </c>
    </row>
  </sheetData>
  <mergeCells count="2">
    <mergeCell ref="A1:U1"/>
    <mergeCell ref="W1:AQ1"/>
  </mergeCells>
  <pageMargins left="0.7" right="0.7" top="0.75" bottom="0.75" header="0.3" footer="0.3"/>
  <tableParts count="6">
    <tablePart r:id="rId1"/>
    <tablePart r:id="rId2"/>
    <tablePart r:id="rId3"/>
    <tablePart r:id="rId4"/>
    <tablePart r:id="rId5"/>
    <tablePart r:id="rId6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46E789-DAAB-463D-A3E6-7AF339C0AECE}">
  <dimension ref="A1:AQ26"/>
  <sheetViews>
    <sheetView topLeftCell="D1" workbookViewId="0">
      <selection activeCell="H16" sqref="H16"/>
    </sheetView>
  </sheetViews>
  <sheetFormatPr defaultRowHeight="14.4" x14ac:dyDescent="0.3"/>
  <cols>
    <col min="1" max="1" width="13.5546875" customWidth="1"/>
    <col min="3" max="3" width="12.109375" customWidth="1"/>
    <col min="5" max="5" width="14.88671875" bestFit="1" customWidth="1"/>
    <col min="6" max="6" width="12.5546875" customWidth="1"/>
    <col min="7" max="7" width="15.21875" customWidth="1"/>
    <col min="8" max="8" width="17.6640625" customWidth="1"/>
    <col min="9" max="9" width="16.44140625" customWidth="1"/>
    <col min="10" max="10" width="12.21875" customWidth="1"/>
    <col min="11" max="11" width="13.109375" customWidth="1"/>
    <col min="12" max="12" width="11.6640625" customWidth="1"/>
    <col min="13" max="13" width="12.109375" customWidth="1"/>
    <col min="14" max="14" width="11.33203125" customWidth="1"/>
    <col min="15" max="15" width="12.109375" customWidth="1"/>
    <col min="16" max="16" width="10.33203125" customWidth="1"/>
    <col min="17" max="17" width="13.88671875" customWidth="1"/>
    <col min="19" max="19" width="14.5546875" customWidth="1"/>
    <col min="20" max="20" width="15.5546875" customWidth="1"/>
    <col min="21" max="21" width="18.5546875" customWidth="1"/>
  </cols>
  <sheetData>
    <row r="1" spans="1:43" ht="21" x14ac:dyDescent="0.4">
      <c r="A1" s="8" t="s">
        <v>594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W1" s="8" t="s">
        <v>592</v>
      </c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</row>
    <row r="2" spans="1:43" x14ac:dyDescent="0.3">
      <c r="A2" t="s">
        <v>459</v>
      </c>
      <c r="B2" t="s">
        <v>460</v>
      </c>
      <c r="C2" t="s">
        <v>461</v>
      </c>
      <c r="D2" t="s">
        <v>462</v>
      </c>
      <c r="E2" t="s">
        <v>463</v>
      </c>
      <c r="F2" t="s">
        <v>464</v>
      </c>
      <c r="G2" t="s">
        <v>465</v>
      </c>
      <c r="H2" t="s">
        <v>466</v>
      </c>
      <c r="I2" t="s">
        <v>467</v>
      </c>
      <c r="J2" t="s">
        <v>468</v>
      </c>
      <c r="K2" t="s">
        <v>469</v>
      </c>
      <c r="L2" t="s">
        <v>470</v>
      </c>
      <c r="M2" t="s">
        <v>471</v>
      </c>
      <c r="N2" t="s">
        <v>472</v>
      </c>
      <c r="O2" t="s">
        <v>473</v>
      </c>
      <c r="P2" t="s">
        <v>474</v>
      </c>
      <c r="Q2" t="s">
        <v>475</v>
      </c>
      <c r="S2" t="s">
        <v>476</v>
      </c>
      <c r="T2" t="s">
        <v>477</v>
      </c>
      <c r="U2" t="s">
        <v>478</v>
      </c>
      <c r="W2" t="s">
        <v>459</v>
      </c>
      <c r="X2" t="s">
        <v>460</v>
      </c>
      <c r="Y2" t="s">
        <v>461</v>
      </c>
      <c r="Z2" t="s">
        <v>462</v>
      </c>
      <c r="AA2" t="s">
        <v>463</v>
      </c>
      <c r="AB2" t="s">
        <v>464</v>
      </c>
      <c r="AC2" t="s">
        <v>465</v>
      </c>
      <c r="AD2" t="s">
        <v>466</v>
      </c>
      <c r="AE2" t="s">
        <v>467</v>
      </c>
      <c r="AF2" t="s">
        <v>468</v>
      </c>
      <c r="AG2" t="s">
        <v>469</v>
      </c>
      <c r="AH2" t="s">
        <v>470</v>
      </c>
      <c r="AI2" t="s">
        <v>471</v>
      </c>
      <c r="AJ2" t="s">
        <v>472</v>
      </c>
      <c r="AK2" t="s">
        <v>473</v>
      </c>
      <c r="AL2" t="s">
        <v>474</v>
      </c>
      <c r="AM2" t="s">
        <v>475</v>
      </c>
      <c r="AO2" t="s">
        <v>476</v>
      </c>
      <c r="AP2" t="s">
        <v>477</v>
      </c>
      <c r="AQ2" t="s">
        <v>478</v>
      </c>
    </row>
    <row r="3" spans="1:43" x14ac:dyDescent="0.3">
      <c r="A3">
        <v>16</v>
      </c>
      <c r="B3">
        <v>49</v>
      </c>
      <c r="C3" t="s">
        <v>223</v>
      </c>
      <c r="D3" t="s">
        <v>480</v>
      </c>
      <c r="E3" t="s">
        <v>707</v>
      </c>
      <c r="G3">
        <v>48.61</v>
      </c>
      <c r="H3">
        <v>54.03</v>
      </c>
      <c r="I3" s="5">
        <v>1.1879629629629629E-3</v>
      </c>
      <c r="K3">
        <v>115872</v>
      </c>
      <c r="L3" s="2">
        <f>_xlfn.LET(_xlpm.x,Table12716313749617385[[#This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5.626157407407407E-4</v>
      </c>
      <c r="M3" s="3">
        <f>IF(Table12716313749617385[[#This Row],[run 1 times]]="",999.99,IF(Table12716313749617385[[#This Row],[run 1 times]]=$S$3,0,MAX(0,ROUND(((Table12716313749617385[[#This Row],[run 1 times]]-$S$3)/$S$3)*$S$6,2))))</f>
        <v>61.73</v>
      </c>
      <c r="N3" s="2">
        <f>_xlfn.LET(_xlpm.x,Table12716313749617385[[#This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6.2534722222222223E-4</v>
      </c>
      <c r="O3" s="3">
        <f>IF(Table12716313749617385[[#This Row],[run2 times]]="",999.99,IF(Table12716313749617385[[#This Row],[run2 times]]=$T$3,0,MAX(0,ROUND(((Table12716313749617385[[#This Row],[run2 times]]-$T$3)/$T$3)*$S$6,2))))</f>
        <v>56.48</v>
      </c>
      <c r="P3" s="2">
        <f>IF(OR(Table12716313749617385[[#This Row],[run 1 times]]="",Table12716313749617385[[#This Row],[run2 times]]=""),"",Table12716313749617385[[#This Row],[run 1 times]]+Table12716313749617385[[#This Row],[run2 times]])</f>
        <v>1.1879629629629629E-3</v>
      </c>
      <c r="Q3" s="3">
        <f>IF(Table12716313749617385[[#This Row],[total time]]="",999.99,IF(Table12716313749617385[[#This Row],[total time]]=$U$3,0,MAX(0,ROUND(((Table12716313749617385[[#This Row],[total time]]-$U$3)/$U$3)*$S$6,2))))</f>
        <v>58.96</v>
      </c>
      <c r="S3" s="1">
        <f>MIN(Table12716313749617385[run 1 times])</f>
        <v>5.1875000000000001E-4</v>
      </c>
      <c r="T3" s="1">
        <f>MIN(Table12716313749617385[run2 times])</f>
        <v>5.8043981481481477E-4</v>
      </c>
      <c r="U3" s="1">
        <f>MIN(Table12716313749617385[total time])</f>
        <v>1.0991898148148148E-3</v>
      </c>
      <c r="W3">
        <v>3</v>
      </c>
      <c r="X3">
        <v>77</v>
      </c>
      <c r="Y3" t="s">
        <v>24</v>
      </c>
      <c r="Z3" t="s">
        <v>547</v>
      </c>
      <c r="AA3" t="s">
        <v>840</v>
      </c>
      <c r="AB3">
        <v>2010</v>
      </c>
      <c r="AC3">
        <v>48.21</v>
      </c>
      <c r="AD3">
        <v>50.58</v>
      </c>
      <c r="AE3" s="5">
        <v>1.1434027777777777E-3</v>
      </c>
      <c r="AG3">
        <v>88937</v>
      </c>
      <c r="AH3" s="2">
        <f>_xlfn.LET(_xlpm.x,Table12211019344052647688[[#This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5.579861111111111E-4</v>
      </c>
      <c r="AI3" s="3">
        <f>IF(Table12211019344052647688[[#This Row],[run 1 times]]="",999.99,IF(Table12211019344052647688[[#This Row],[run 1 times]]=$AO$3,0,MAX(0,ROUND(((Table12211019344052647688[[#This Row],[run 1 times]]-$AO$3)/$AO$3)*$AO$6,2))))</f>
        <v>0.61</v>
      </c>
      <c r="AJ3" s="2">
        <f>_xlfn.LET(_xlpm.x,Table12211019344052647688[[#This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5.8541666666666659E-4</v>
      </c>
      <c r="AK3" s="3">
        <f>IF(Table12211019344052647688[[#This Row],[run2 times]]="",999.99,IF(Table12211019344052647688[[#This Row],[run2 times]]=$AP$3,0,MAX(0,ROUND(((Table12211019344052647688[[#This Row],[run2 times]]-$AP$3)/$AP$3)*$AO$6,2))))</f>
        <v>18.95</v>
      </c>
      <c r="AL3" s="2">
        <f>IF(OR(Table12211019344052647688[[#This Row],[run 1 times]]="",Table12211019344052647688[[#This Row],[run2 times]]=""),"",Table12211019344052647688[[#This Row],[run 1 times]]+Table12211019344052647688[[#This Row],[run2 times]])</f>
        <v>1.1434027777777777E-3</v>
      </c>
      <c r="AM3" s="3">
        <f>IF(Table12211019344052647688[[#This Row],[total time]]="",999.99,IF(Table12211019344052647688[[#This Row],[total time]]=$AQ$3,0,MAX(0,ROUND(((Table12211019344052647688[[#This Row],[total time]]-$AQ$3)/$AQ$3)*$AO$6,2))))</f>
        <v>0</v>
      </c>
      <c r="AO3" s="1">
        <f>MIN(Table12211019344052647688[run 1 times])</f>
        <v>5.5752314814814814E-4</v>
      </c>
      <c r="AP3" s="1">
        <f>MIN(Table12211019344052647688[run2 times])</f>
        <v>5.7060185185185187E-4</v>
      </c>
      <c r="AQ3" s="1">
        <f>MIN(Table12211019344052647688[total time])</f>
        <v>1.1434027777777777E-3</v>
      </c>
    </row>
    <row r="4" spans="1:43" x14ac:dyDescent="0.3">
      <c r="A4">
        <v>1</v>
      </c>
      <c r="B4">
        <v>34</v>
      </c>
      <c r="C4" t="s">
        <v>257</v>
      </c>
      <c r="D4" t="s">
        <v>480</v>
      </c>
      <c r="E4" t="s">
        <v>671</v>
      </c>
      <c r="G4">
        <v>49.27</v>
      </c>
      <c r="H4">
        <v>56.39</v>
      </c>
      <c r="I4" s="5">
        <v>1.2229166666666666E-3</v>
      </c>
      <c r="K4">
        <v>119078</v>
      </c>
      <c r="L4" s="2">
        <f>_xlfn.LET(_xlpm.x,Table12716313749617385[[#This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5.7025462962962965E-4</v>
      </c>
      <c r="M4" s="3">
        <f>IF(Table12716313749617385[[#This Row],[run 1 times]]="",999.99,IF(Table12716313749617385[[#This Row],[run 1 times]]=$S$3,0,MAX(0,ROUND(((Table12716313749617385[[#This Row],[run 1 times]]-$S$3)/$S$3)*$S$6,2))))</f>
        <v>72.48</v>
      </c>
      <c r="N4" s="2">
        <f>_xlfn.LET(_xlpm.x,Table12716313749617385[[#This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6.5266203703703699E-4</v>
      </c>
      <c r="O4" s="3">
        <f>IF(Table12716313749617385[[#This Row],[run2 times]]="",999.99,IF(Table12716313749617385[[#This Row],[run2 times]]=$T$3,0,MAX(0,ROUND(((Table12716313749617385[[#This Row],[run2 times]]-$T$3)/$T$3)*$S$6,2))))</f>
        <v>90.83</v>
      </c>
      <c r="P4" s="2">
        <f>IF(OR(Table12716313749617385[[#This Row],[run 1 times]]="",Table12716313749617385[[#This Row],[run2 times]]=""),"",Table12716313749617385[[#This Row],[run 1 times]]+Table12716313749617385[[#This Row],[run2 times]])</f>
        <v>1.2229166666666666E-3</v>
      </c>
      <c r="Q4" s="3">
        <f>IF(Table12716313749617385[[#This Row],[total time]]="",999.99,IF(Table12716313749617385[[#This Row],[total time]]=$U$3,0,MAX(0,ROUND(((Table12716313749617385[[#This Row],[total time]]-$U$3)/$U$3)*$S$6,2))))</f>
        <v>82.17</v>
      </c>
      <c r="W4">
        <v>9</v>
      </c>
      <c r="X4">
        <v>83</v>
      </c>
      <c r="Y4" t="s">
        <v>223</v>
      </c>
      <c r="Z4" t="s">
        <v>547</v>
      </c>
      <c r="AA4" t="s">
        <v>745</v>
      </c>
      <c r="AB4">
        <v>2011</v>
      </c>
      <c r="AC4">
        <v>48.17</v>
      </c>
      <c r="AD4">
        <v>51.21</v>
      </c>
      <c r="AE4" s="5">
        <v>1.1502314814814815E-3</v>
      </c>
      <c r="AG4">
        <v>102458</v>
      </c>
      <c r="AH4" s="2">
        <f>_xlfn.LET(_xlpm.x,Table12211019344052647688[[#This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5.5752314814814814E-4</v>
      </c>
      <c r="AI4" s="3">
        <f>IF(Table12211019344052647688[[#This Row],[run 1 times]]="",999.99,IF(Table12211019344052647688[[#This Row],[run 1 times]]=$AO$3,0,MAX(0,ROUND(((Table12211019344052647688[[#This Row],[run 1 times]]-$AO$3)/$AO$3)*$AO$6,2))))</f>
        <v>0</v>
      </c>
      <c r="AJ4" s="2">
        <f>_xlfn.LET(_xlpm.x,Table12211019344052647688[[#This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5.9270833333333332E-4</v>
      </c>
      <c r="AK4" s="3">
        <f>IF(Table12211019344052647688[[#This Row],[run2 times]]="",999.99,IF(Table12211019344052647688[[#This Row],[run2 times]]=$AP$3,0,MAX(0,ROUND(((Table12211019344052647688[[#This Row],[run2 times]]-$AP$3)/$AP$3)*$AO$6,2))))</f>
        <v>28.28</v>
      </c>
      <c r="AL4" s="2">
        <f>IF(OR(Table12211019344052647688[[#This Row],[run 1 times]]="",Table12211019344052647688[[#This Row],[run2 times]]=""),"",Table12211019344052647688[[#This Row],[run 1 times]]+Table12211019344052647688[[#This Row],[run2 times]])</f>
        <v>1.1502314814814815E-3</v>
      </c>
      <c r="AM4" s="3">
        <f>IF(Table12211019344052647688[[#This Row],[total time]]="",999.99,IF(Table12211019344052647688[[#This Row],[total time]]=$AQ$3,0,MAX(0,ROUND(((Table12211019344052647688[[#This Row],[total time]]-$AQ$3)/$AQ$3)*$AO$6,2))))</f>
        <v>4.3600000000000003</v>
      </c>
    </row>
    <row r="5" spans="1:43" x14ac:dyDescent="0.3">
      <c r="A5">
        <v>17</v>
      </c>
      <c r="B5">
        <v>50</v>
      </c>
      <c r="C5" t="s">
        <v>257</v>
      </c>
      <c r="D5" t="s">
        <v>480</v>
      </c>
      <c r="E5" t="s">
        <v>878</v>
      </c>
      <c r="G5">
        <v>50.66</v>
      </c>
      <c r="H5">
        <v>56.46</v>
      </c>
      <c r="I5" s="5">
        <v>1.2398148148148149E-3</v>
      </c>
      <c r="K5">
        <v>120661</v>
      </c>
      <c r="L5" s="2">
        <f>_xlfn.LET(_xlpm.x,Table12716313749617385[[#This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5.8634259259259251E-4</v>
      </c>
      <c r="M5" s="3">
        <f>IF(Table12716313749617385[[#This Row],[run 1 times]]="",999.99,IF(Table12716313749617385[[#This Row],[run 1 times]]=$S$3,0,MAX(0,ROUND(((Table12716313749617385[[#This Row],[run 1 times]]-$S$3)/$S$3)*$S$6,2))))</f>
        <v>95.12</v>
      </c>
      <c r="N5" s="2">
        <f>_xlfn.LET(_xlpm.x,Table12716313749617385[[#This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6.5347222222222228E-4</v>
      </c>
      <c r="O5" s="3">
        <f>IF(Table12716313749617385[[#This Row],[run2 times]]="",999.99,IF(Table12716313749617385[[#This Row],[run2 times]]=$T$3,0,MAX(0,ROUND(((Table12716313749617385[[#This Row],[run2 times]]-$T$3)/$T$3)*$S$6,2))))</f>
        <v>91.85</v>
      </c>
      <c r="P5" s="2">
        <f>IF(OR(Table12716313749617385[[#This Row],[run 1 times]]="",Table12716313749617385[[#This Row],[run2 times]]=""),"",Table12716313749617385[[#This Row],[run 1 times]]+Table12716313749617385[[#This Row],[run2 times]])</f>
        <v>1.2398148148148147E-3</v>
      </c>
      <c r="Q5" s="3">
        <f>IF(Table12716313749617385[[#This Row],[total time]]="",999.99,IF(Table12716313749617385[[#This Row],[total time]]=$U$3,0,MAX(0,ROUND(((Table12716313749617385[[#This Row],[total time]]-$U$3)/$U$3)*$S$6,2))))</f>
        <v>93.39</v>
      </c>
      <c r="S5" t="s">
        <v>484</v>
      </c>
      <c r="T5" t="s">
        <v>485</v>
      </c>
      <c r="U5" t="s">
        <v>486</v>
      </c>
      <c r="W5">
        <v>21</v>
      </c>
      <c r="X5">
        <v>95</v>
      </c>
      <c r="Y5" t="s">
        <v>24</v>
      </c>
      <c r="Z5" t="s">
        <v>547</v>
      </c>
      <c r="AA5" t="s">
        <v>742</v>
      </c>
      <c r="AB5">
        <v>2010</v>
      </c>
      <c r="AC5">
        <v>48.92</v>
      </c>
      <c r="AD5">
        <v>50.58</v>
      </c>
      <c r="AE5" s="5">
        <v>1.1516203703703703E-3</v>
      </c>
      <c r="AG5">
        <v>89651</v>
      </c>
      <c r="AH5" s="2">
        <f>_xlfn.LET(_xlpm.x,Table12211019344052647688[[#This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5.6620370370370375E-4</v>
      </c>
      <c r="AI5" s="3">
        <f>IF(Table12211019344052647688[[#This Row],[run 1 times]]="",999.99,IF(Table12211019344052647688[[#This Row],[run 1 times]]=$AO$3,0,MAX(0,ROUND(((Table12211019344052647688[[#This Row],[run 1 times]]-$AO$3)/$AO$3)*$AO$6,2))))</f>
        <v>11.37</v>
      </c>
      <c r="AJ5" s="2">
        <f>_xlfn.LET(_xlpm.x,Table12211019344052647688[[#This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5.8541666666666659E-4</v>
      </c>
      <c r="AK5" s="3">
        <f>IF(Table12211019344052647688[[#This Row],[run2 times]]="",999.99,IF(Table12211019344052647688[[#This Row],[run2 times]]=$AP$3,0,MAX(0,ROUND(((Table12211019344052647688[[#This Row],[run2 times]]-$AP$3)/$AP$3)*$AO$6,2))))</f>
        <v>18.95</v>
      </c>
      <c r="AL5" s="2">
        <f>IF(OR(Table12211019344052647688[[#This Row],[run 1 times]]="",Table12211019344052647688[[#This Row],[run2 times]]=""),"",Table12211019344052647688[[#This Row],[run 1 times]]+Table12211019344052647688[[#This Row],[run2 times]])</f>
        <v>1.1516203703703703E-3</v>
      </c>
      <c r="AM5" s="3">
        <f>IF(Table12211019344052647688[[#This Row],[total time]]="",999.99,IF(Table12211019344052647688[[#This Row],[total time]]=$AQ$3,0,MAX(0,ROUND(((Table12211019344052647688[[#This Row],[total time]]-$AQ$3)/$AQ$3)*$AO$6,2))))</f>
        <v>5.25</v>
      </c>
      <c r="AO5" t="s">
        <v>484</v>
      </c>
      <c r="AP5" t="s">
        <v>485</v>
      </c>
      <c r="AQ5" t="s">
        <v>486</v>
      </c>
    </row>
    <row r="6" spans="1:43" x14ac:dyDescent="0.3">
      <c r="A6">
        <v>2</v>
      </c>
      <c r="B6">
        <v>35</v>
      </c>
      <c r="C6" t="s">
        <v>223</v>
      </c>
      <c r="D6" t="s">
        <v>480</v>
      </c>
      <c r="E6" t="s">
        <v>676</v>
      </c>
      <c r="G6">
        <v>54.95</v>
      </c>
      <c r="H6">
        <v>59.63</v>
      </c>
      <c r="I6" s="5">
        <v>1.3261574074074074E-3</v>
      </c>
      <c r="K6">
        <v>107257</v>
      </c>
      <c r="L6" s="2">
        <f>_xlfn.LET(_xlpm.x,Table12716313749617385[[#This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6.3599537037037043E-4</v>
      </c>
      <c r="M6" s="3">
        <f>IF(Table12716313749617385[[#This Row],[run 1 times]]="",999.99,IF(Table12716313749617385[[#This Row],[run 1 times]]=$S$3,0,MAX(0,ROUND(((Table12716313749617385[[#This Row],[run 1 times]]-$S$3)/$S$3)*$S$6,2))))</f>
        <v>164.99</v>
      </c>
      <c r="N6" s="2">
        <f>_xlfn.LET(_xlpm.x,Table12716313749617385[[#This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6.9016203703703709E-4</v>
      </c>
      <c r="O6" s="3">
        <f>IF(Table12716313749617385[[#This Row],[run2 times]]="",999.99,IF(Table12716313749617385[[#This Row],[run2 times]]=$T$3,0,MAX(0,ROUND(((Table12716313749617385[[#This Row],[run2 times]]-$T$3)/$T$3)*$S$6,2))))</f>
        <v>137.99</v>
      </c>
      <c r="P6" s="2">
        <f>IF(OR(Table12716313749617385[[#This Row],[run 1 times]]="",Table12716313749617385[[#This Row],[run2 times]]=""),"",Table12716313749617385[[#This Row],[run 1 times]]+Table12716313749617385[[#This Row],[run2 times]])</f>
        <v>1.3261574074074074E-3</v>
      </c>
      <c r="Q6" s="3">
        <f>IF(Table12716313749617385[[#This Row],[total time]]="",999.99,IF(Table12716313749617385[[#This Row],[total time]]=$U$3,0,MAX(0,ROUND(((Table12716313749617385[[#This Row],[total time]]-$U$3)/$U$3)*$S$6,2))))</f>
        <v>150.72999999999999</v>
      </c>
      <c r="S6">
        <v>730</v>
      </c>
      <c r="T6">
        <v>1010</v>
      </c>
      <c r="U6">
        <v>1190</v>
      </c>
      <c r="W6">
        <v>4</v>
      </c>
      <c r="X6">
        <v>78</v>
      </c>
      <c r="Y6" t="s">
        <v>373</v>
      </c>
      <c r="Z6" t="s">
        <v>547</v>
      </c>
      <c r="AA6" t="s">
        <v>758</v>
      </c>
      <c r="AB6">
        <v>2011</v>
      </c>
      <c r="AC6">
        <v>51.5</v>
      </c>
      <c r="AD6">
        <v>55.2</v>
      </c>
      <c r="AE6" s="5">
        <v>1.2349537037037038E-3</v>
      </c>
      <c r="AG6">
        <v>94814</v>
      </c>
      <c r="AH6" s="2">
        <f>_xlfn.LET(_xlpm.x,Table12211019344052647688[[#This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5.9606481481481479E-4</v>
      </c>
      <c r="AI6" s="3">
        <f>IF(Table12211019344052647688[[#This Row],[run 1 times]]="",999.99,IF(Table12211019344052647688[[#This Row],[run 1 times]]=$AO$3,0,MAX(0,ROUND(((Table12211019344052647688[[#This Row],[run 1 times]]-$AO$3)/$AO$3)*$AO$6,2))))</f>
        <v>50.47</v>
      </c>
      <c r="AJ6" s="2">
        <f>_xlfn.LET(_xlpm.x,Table12211019344052647688[[#This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6.3888888888888893E-4</v>
      </c>
      <c r="AK6" s="3">
        <f>IF(Table12211019344052647688[[#This Row],[run2 times]]="",999.99,IF(Table12211019344052647688[[#This Row],[run2 times]]=$AP$3,0,MAX(0,ROUND(((Table12211019344052647688[[#This Row],[run2 times]]-$AP$3)/$AP$3)*$AO$6,2))))</f>
        <v>87.36</v>
      </c>
      <c r="AL6" s="2">
        <f>IF(OR(Table12211019344052647688[[#This Row],[run 1 times]]="",Table12211019344052647688[[#This Row],[run2 times]]=""),"",Table12211019344052647688[[#This Row],[run 1 times]]+Table12211019344052647688[[#This Row],[run2 times]])</f>
        <v>1.2349537037037038E-3</v>
      </c>
      <c r="AM6" s="3">
        <f>IF(Table12211019344052647688[[#This Row],[total time]]="",999.99,IF(Table12211019344052647688[[#This Row],[total time]]=$AQ$3,0,MAX(0,ROUND(((Table12211019344052647688[[#This Row],[total time]]-$AQ$3)/$AQ$3)*$AO$6,2))))</f>
        <v>58.45</v>
      </c>
      <c r="AO6">
        <v>730</v>
      </c>
      <c r="AP6">
        <v>1010</v>
      </c>
      <c r="AQ6">
        <v>1190</v>
      </c>
    </row>
    <row r="7" spans="1:43" x14ac:dyDescent="0.3">
      <c r="A7">
        <v>8</v>
      </c>
      <c r="B7">
        <v>41</v>
      </c>
      <c r="C7" t="s">
        <v>257</v>
      </c>
      <c r="D7" t="s">
        <v>480</v>
      </c>
      <c r="E7" t="s">
        <v>710</v>
      </c>
      <c r="G7">
        <v>55.7</v>
      </c>
      <c r="H7" s="5">
        <v>7.1921296296296295E-4</v>
      </c>
      <c r="I7" s="5">
        <v>1.3638888888888889E-3</v>
      </c>
      <c r="K7">
        <v>124078</v>
      </c>
      <c r="L7" s="2">
        <f>_xlfn.LET(_xlpm.x,Table12716313749617385[[#This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6.4467592592592593E-4</v>
      </c>
      <c r="M7" s="3">
        <f>IF(Table12716313749617385[[#This Row],[run 1 times]]="",999.99,IF(Table12716313749617385[[#This Row],[run 1 times]]=$S$3,0,MAX(0,ROUND(((Table12716313749617385[[#This Row],[run 1 times]]-$S$3)/$S$3)*$S$6,2))))</f>
        <v>177.21</v>
      </c>
      <c r="N7" s="2">
        <f>_xlfn.LET(_xlpm.x,Table12716313749617385[[#This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7.1921296296296295E-4</v>
      </c>
      <c r="O7" s="3">
        <f>IF(Table12716313749617385[[#This Row],[run2 times]]="",999.99,IF(Table12716313749617385[[#This Row],[run2 times]]=$T$3,0,MAX(0,ROUND(((Table12716313749617385[[#This Row],[run2 times]]-$T$3)/$T$3)*$S$6,2))))</f>
        <v>174.53</v>
      </c>
      <c r="P7" s="2">
        <f>IF(OR(Table12716313749617385[[#This Row],[run 1 times]]="",Table12716313749617385[[#This Row],[run2 times]]=""),"",Table12716313749617385[[#This Row],[run 1 times]]+Table12716313749617385[[#This Row],[run2 times]])</f>
        <v>1.3638888888888889E-3</v>
      </c>
      <c r="Q7" s="3">
        <f>IF(Table12716313749617385[[#This Row],[total time]]="",999.99,IF(Table12716313749617385[[#This Row],[total time]]=$U$3,0,MAX(0,ROUND(((Table12716313749617385[[#This Row],[total time]]-$U$3)/$U$3)*$S$6,2))))</f>
        <v>175.79</v>
      </c>
      <c r="W7">
        <v>7</v>
      </c>
      <c r="X7">
        <v>81</v>
      </c>
      <c r="Y7" t="s">
        <v>257</v>
      </c>
      <c r="Z7" t="s">
        <v>547</v>
      </c>
      <c r="AA7" t="s">
        <v>766</v>
      </c>
      <c r="AB7">
        <v>2011</v>
      </c>
      <c r="AC7">
        <v>53.63</v>
      </c>
      <c r="AD7">
        <v>56.13</v>
      </c>
      <c r="AE7" s="5">
        <v>1.2703703703703703E-3</v>
      </c>
      <c r="AG7">
        <v>102722</v>
      </c>
      <c r="AH7" s="2">
        <f>_xlfn.LET(_xlpm.x,Table12211019344052647688[[#This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6.2071759259259263E-4</v>
      </c>
      <c r="AI7" s="3">
        <f>IF(Table12211019344052647688[[#This Row],[run 1 times]]="",999.99,IF(Table12211019344052647688[[#This Row],[run 1 times]]=$AO$3,0,MAX(0,ROUND(((Table12211019344052647688[[#This Row],[run 1 times]]-$AO$3)/$AO$3)*$AO$6,2))))</f>
        <v>82.74</v>
      </c>
      <c r="AJ7" s="2">
        <f>_xlfn.LET(_xlpm.x,Table12211019344052647688[[#This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6.4965277777777786E-4</v>
      </c>
      <c r="AK7" s="3">
        <f>IF(Table12211019344052647688[[#This Row],[run2 times]]="",999.99,IF(Table12211019344052647688[[#This Row],[run2 times]]=$AP$3,0,MAX(0,ROUND(((Table12211019344052647688[[#This Row],[run2 times]]-$AP$3)/$AP$3)*$AO$6,2))))</f>
        <v>101.13</v>
      </c>
      <c r="AL7" s="2">
        <f>IF(OR(Table12211019344052647688[[#This Row],[run 1 times]]="",Table12211019344052647688[[#This Row],[run2 times]]=""),"",Table12211019344052647688[[#This Row],[run 1 times]]+Table12211019344052647688[[#This Row],[run2 times]])</f>
        <v>1.2703703703703705E-3</v>
      </c>
      <c r="AM7" s="3">
        <f>IF(Table12211019344052647688[[#This Row],[total time]]="",999.99,IF(Table12211019344052647688[[#This Row],[total time]]=$AQ$3,0,MAX(0,ROUND(((Table12211019344052647688[[#This Row],[total time]]-$AQ$3)/$AQ$3)*$AO$6,2))))</f>
        <v>81.06</v>
      </c>
    </row>
    <row r="8" spans="1:43" x14ac:dyDescent="0.3">
      <c r="A8">
        <v>3</v>
      </c>
      <c r="B8">
        <v>136</v>
      </c>
      <c r="C8" t="s">
        <v>257</v>
      </c>
      <c r="D8" t="s">
        <v>480</v>
      </c>
      <c r="E8" t="s">
        <v>892</v>
      </c>
      <c r="G8">
        <v>59.3</v>
      </c>
      <c r="H8" s="5">
        <v>7.6817129629629631E-4</v>
      </c>
      <c r="I8" s="5">
        <v>1.4545138888888889E-3</v>
      </c>
      <c r="K8">
        <v>121964</v>
      </c>
      <c r="L8" s="2">
        <f>_xlfn.LET(_xlpm.x,Table12716313749617385[[#This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6.8634259259259256E-4</v>
      </c>
      <c r="M8" s="3">
        <f>IF(Table12716313749617385[[#This Row],[run 1 times]]="",999.99,IF(Table12716313749617385[[#This Row],[run 1 times]]=$S$3,0,MAX(0,ROUND(((Table12716313749617385[[#This Row],[run 1 times]]-$S$3)/$S$3)*$S$6,2))))</f>
        <v>235.84</v>
      </c>
      <c r="N8" s="2">
        <f>_xlfn.LET(_xlpm.x,Table12716313749617385[[#This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7.6817129629629631E-4</v>
      </c>
      <c r="O8" s="3">
        <f>IF(Table12716313749617385[[#This Row],[run2 times]]="",999.99,IF(Table12716313749617385[[#This Row],[run2 times]]=$T$3,0,MAX(0,ROUND(((Table12716313749617385[[#This Row],[run2 times]]-$T$3)/$T$3)*$S$6,2))))</f>
        <v>236.1</v>
      </c>
      <c r="P8" s="2">
        <f>IF(OR(Table12716313749617385[[#This Row],[run 1 times]]="",Table12716313749617385[[#This Row],[run2 times]]=""),"",Table12716313749617385[[#This Row],[run 1 times]]+Table12716313749617385[[#This Row],[run2 times]])</f>
        <v>1.4545138888888889E-3</v>
      </c>
      <c r="Q8" s="3">
        <f>IF(Table12716313749617385[[#This Row],[total time]]="",999.99,IF(Table12716313749617385[[#This Row],[total time]]=$U$3,0,MAX(0,ROUND(((Table12716313749617385[[#This Row],[total time]]-$U$3)/$U$3)*$S$6,2))))</f>
        <v>235.98</v>
      </c>
      <c r="W8">
        <v>15</v>
      </c>
      <c r="X8">
        <v>89</v>
      </c>
      <c r="Y8" t="s">
        <v>257</v>
      </c>
      <c r="Z8" t="s">
        <v>547</v>
      </c>
      <c r="AA8" t="s">
        <v>744</v>
      </c>
      <c r="AB8">
        <v>2010</v>
      </c>
      <c r="AC8">
        <v>53.81</v>
      </c>
      <c r="AD8">
        <v>56.78</v>
      </c>
      <c r="AE8" s="5">
        <v>1.2799768518518518E-3</v>
      </c>
      <c r="AG8">
        <v>102725</v>
      </c>
      <c r="AH8" s="2">
        <f>_xlfn.LET(_xlpm.x,Table12211019344052647688[[#This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6.2280092592592595E-4</v>
      </c>
      <c r="AI8" s="3">
        <f>IF(Table12211019344052647688[[#This Row],[run 1 times]]="",999.99,IF(Table12211019344052647688[[#This Row],[run 1 times]]=$AO$3,0,MAX(0,ROUND(((Table12211019344052647688[[#This Row],[run 1 times]]-$AO$3)/$AO$3)*$AO$6,2))))</f>
        <v>85.47</v>
      </c>
      <c r="AJ8" s="2">
        <f>_xlfn.LET(_xlpm.x,Table12211019344052647688[[#This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6.5717592592592596E-4</v>
      </c>
      <c r="AK8" s="3">
        <f>IF(Table12211019344052647688[[#This Row],[run2 times]]="",999.99,IF(Table12211019344052647688[[#This Row],[run2 times]]=$AP$3,0,MAX(0,ROUND(((Table12211019344052647688[[#This Row],[run2 times]]-$AP$3)/$AP$3)*$AO$6,2))))</f>
        <v>110.76</v>
      </c>
      <c r="AL8" s="2">
        <f>IF(OR(Table12211019344052647688[[#This Row],[run 1 times]]="",Table12211019344052647688[[#This Row],[run2 times]]=""),"",Table12211019344052647688[[#This Row],[run 1 times]]+Table12211019344052647688[[#This Row],[run2 times]])</f>
        <v>1.279976851851852E-3</v>
      </c>
      <c r="AM8" s="3">
        <f>IF(Table12211019344052647688[[#This Row],[total time]]="",999.99,IF(Table12211019344052647688[[#This Row],[total time]]=$AQ$3,0,MAX(0,ROUND(((Table12211019344052647688[[#This Row],[total time]]-$AQ$3)/$AQ$3)*$AO$6,2))))</f>
        <v>87.2</v>
      </c>
    </row>
    <row r="9" spans="1:43" x14ac:dyDescent="0.3">
      <c r="A9">
        <v>19</v>
      </c>
      <c r="B9">
        <v>52</v>
      </c>
      <c r="C9" t="s">
        <v>257</v>
      </c>
      <c r="D9" t="s">
        <v>480</v>
      </c>
      <c r="E9" t="s">
        <v>682</v>
      </c>
      <c r="G9" s="5">
        <v>7.0358796296296293E-4</v>
      </c>
      <c r="H9" s="5">
        <v>7.7905092592592598E-4</v>
      </c>
      <c r="I9" s="5">
        <v>1.4826388888888888E-3</v>
      </c>
      <c r="K9">
        <v>120809</v>
      </c>
      <c r="L9" s="2">
        <f>_xlfn.LET(_xlpm.x,Table12716313749617385[[#This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7.0358796296296293E-4</v>
      </c>
      <c r="M9" s="3">
        <f>IF(Table12716313749617385[[#This Row],[run 1 times]]="",999.99,IF(Table12716313749617385[[#This Row],[run 1 times]]=$S$3,0,MAX(0,ROUND(((Table12716313749617385[[#This Row],[run 1 times]]-$S$3)/$S$3)*$S$6,2))))</f>
        <v>260.11</v>
      </c>
      <c r="N9" s="2">
        <f>_xlfn.LET(_xlpm.x,Table12716313749617385[[#This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7.7905092592592598E-4</v>
      </c>
      <c r="O9" s="3">
        <f>IF(Table12716313749617385[[#This Row],[run2 times]]="",999.99,IF(Table12716313749617385[[#This Row],[run2 times]]=$T$3,0,MAX(0,ROUND(((Table12716313749617385[[#This Row],[run2 times]]-$T$3)/$T$3)*$S$6,2))))</f>
        <v>249.79</v>
      </c>
      <c r="P9" s="2">
        <f>IF(OR(Table12716313749617385[[#This Row],[run 1 times]]="",Table12716313749617385[[#This Row],[run2 times]]=""),"",Table12716313749617385[[#This Row],[run 1 times]]+Table12716313749617385[[#This Row],[run2 times]])</f>
        <v>1.4826388888888888E-3</v>
      </c>
      <c r="Q9" s="3">
        <f>IF(Table12716313749617385[[#This Row],[total time]]="",999.99,IF(Table12716313749617385[[#This Row],[total time]]=$U$3,0,MAX(0,ROUND(((Table12716313749617385[[#This Row],[total time]]-$U$3)/$U$3)*$S$6,2))))</f>
        <v>254.66</v>
      </c>
      <c r="W9">
        <v>18</v>
      </c>
      <c r="X9">
        <v>92</v>
      </c>
      <c r="Y9" t="s">
        <v>257</v>
      </c>
      <c r="Z9" t="s">
        <v>547</v>
      </c>
      <c r="AA9" t="s">
        <v>743</v>
      </c>
      <c r="AB9">
        <v>2011</v>
      </c>
      <c r="AC9">
        <v>56.02</v>
      </c>
      <c r="AD9">
        <v>56.9</v>
      </c>
      <c r="AE9" s="5">
        <v>1.3069444444444446E-3</v>
      </c>
      <c r="AG9">
        <v>117685</v>
      </c>
      <c r="AH9" s="2">
        <f>_xlfn.LET(_xlpm.x,Table12211019344052647688[[#This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6.4837962962962972E-4</v>
      </c>
      <c r="AI9" s="3">
        <f>IF(Table12211019344052647688[[#This Row],[run 1 times]]="",999.99,IF(Table12211019344052647688[[#This Row],[run 1 times]]=$AO$3,0,MAX(0,ROUND(((Table12211019344052647688[[#This Row],[run 1 times]]-$AO$3)/$AO$3)*$AO$6,2))))</f>
        <v>118.96</v>
      </c>
      <c r="AJ9" s="2">
        <f>_xlfn.LET(_xlpm.x,Table12211019344052647688[[#This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6.5856481481481484E-4</v>
      </c>
      <c r="AK9" s="3">
        <f>IF(Table12211019344052647688[[#This Row],[run2 times]]="",999.99,IF(Table12211019344052647688[[#This Row],[run2 times]]=$AP$3,0,MAX(0,ROUND(((Table12211019344052647688[[#This Row],[run2 times]]-$AP$3)/$AP$3)*$AO$6,2))))</f>
        <v>112.54</v>
      </c>
      <c r="AL9" s="2">
        <f>IF(OR(Table12211019344052647688[[#This Row],[run 1 times]]="",Table12211019344052647688[[#This Row],[run2 times]]=""),"",Table12211019344052647688[[#This Row],[run 1 times]]+Table12211019344052647688[[#This Row],[run2 times]])</f>
        <v>1.3069444444444446E-3</v>
      </c>
      <c r="AM9" s="3">
        <f>IF(Table12211019344052647688[[#This Row],[total time]]="",999.99,IF(Table12211019344052647688[[#This Row],[total time]]=$AQ$3,0,MAX(0,ROUND(((Table12211019344052647688[[#This Row],[total time]]-$AQ$3)/$AQ$3)*$AO$6,2))))</f>
        <v>104.41</v>
      </c>
    </row>
    <row r="10" spans="1:43" x14ac:dyDescent="0.3">
      <c r="A10">
        <v>5</v>
      </c>
      <c r="B10">
        <v>38</v>
      </c>
      <c r="C10" t="s">
        <v>257</v>
      </c>
      <c r="D10" t="s">
        <v>480</v>
      </c>
      <c r="E10" t="s">
        <v>880</v>
      </c>
      <c r="G10" s="5">
        <v>7.2256944444444441E-4</v>
      </c>
      <c r="H10" s="5">
        <v>7.9085648148148147E-4</v>
      </c>
      <c r="I10" s="5">
        <v>1.5134259259259259E-3</v>
      </c>
      <c r="K10">
        <v>124081</v>
      </c>
      <c r="L10" s="2">
        <f>_xlfn.LET(_xlpm.x,Table12716313749617385[[#This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7.2256944444444441E-4</v>
      </c>
      <c r="M10" s="3">
        <f>IF(Table12716313749617385[[#This Row],[run 1 times]]="",999.99,IF(Table12716313749617385[[#This Row],[run 1 times]]=$S$3,0,MAX(0,ROUND(((Table12716313749617385[[#This Row],[run 1 times]]-$S$3)/$S$3)*$S$6,2))))</f>
        <v>286.82</v>
      </c>
      <c r="N10" s="2">
        <f>_xlfn.LET(_xlpm.x,Table12716313749617385[[#This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7.9085648148148147E-4</v>
      </c>
      <c r="O10" s="3">
        <f>IF(Table12716313749617385[[#This Row],[run2 times]]="",999.99,IF(Table12716313749617385[[#This Row],[run2 times]]=$T$3,0,MAX(0,ROUND(((Table12716313749617385[[#This Row],[run2 times]]-$T$3)/$T$3)*$S$6,2))))</f>
        <v>264.63</v>
      </c>
      <c r="P10" s="2">
        <f>IF(OR(Table12716313749617385[[#This Row],[run 1 times]]="",Table12716313749617385[[#This Row],[run2 times]]=""),"",Table12716313749617385[[#This Row],[run 1 times]]+Table12716313749617385[[#This Row],[run2 times]])</f>
        <v>1.5134259259259259E-3</v>
      </c>
      <c r="Q10" s="3">
        <f>IF(Table12716313749617385[[#This Row],[total time]]="",999.99,IF(Table12716313749617385[[#This Row],[total time]]=$U$3,0,MAX(0,ROUND(((Table12716313749617385[[#This Row],[total time]]-$U$3)/$U$3)*$S$6,2))))</f>
        <v>275.10000000000002</v>
      </c>
      <c r="W10">
        <v>13</v>
      </c>
      <c r="X10">
        <v>87</v>
      </c>
      <c r="Y10" t="s">
        <v>257</v>
      </c>
      <c r="Z10" t="s">
        <v>547</v>
      </c>
      <c r="AA10" t="s">
        <v>741</v>
      </c>
      <c r="AB10">
        <v>2010</v>
      </c>
      <c r="AC10">
        <v>55.69</v>
      </c>
      <c r="AD10">
        <v>58.66</v>
      </c>
      <c r="AE10" s="5">
        <v>1.3234953703703703E-3</v>
      </c>
      <c r="AG10">
        <v>102719</v>
      </c>
      <c r="AH10" s="2">
        <f>_xlfn.LET(_xlpm.x,Table12211019344052647688[[#This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6.4456018518518519E-4</v>
      </c>
      <c r="AI10" s="3">
        <f>IF(Table12211019344052647688[[#This Row],[run 1 times]]="",999.99,IF(Table12211019344052647688[[#This Row],[run 1 times]]=$AO$3,0,MAX(0,ROUND(((Table12211019344052647688[[#This Row],[run 1 times]]-$AO$3)/$AO$3)*$AO$6,2))))</f>
        <v>113.96</v>
      </c>
      <c r="AJ10" s="2">
        <f>_xlfn.LET(_xlpm.x,Table12211019344052647688[[#This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6.789351851851852E-4</v>
      </c>
      <c r="AK10" s="3">
        <f>IF(Table12211019344052647688[[#This Row],[run2 times]]="",999.99,IF(Table12211019344052647688[[#This Row],[run2 times]]=$AP$3,0,MAX(0,ROUND(((Table12211019344052647688[[#This Row],[run2 times]]-$AP$3)/$AP$3)*$AO$6,2))))</f>
        <v>138.6</v>
      </c>
      <c r="AL10" s="2">
        <f>IF(OR(Table12211019344052647688[[#This Row],[run 1 times]]="",Table12211019344052647688[[#This Row],[run2 times]]=""),"",Table12211019344052647688[[#This Row],[run 1 times]]+Table12211019344052647688[[#This Row],[run2 times]])</f>
        <v>1.3234953703703703E-3</v>
      </c>
      <c r="AM10" s="3">
        <f>IF(Table12211019344052647688[[#This Row],[total time]]="",999.99,IF(Table12211019344052647688[[#This Row],[total time]]=$AQ$3,0,MAX(0,ROUND(((Table12211019344052647688[[#This Row],[total time]]-$AQ$3)/$AQ$3)*$AO$6,2))))</f>
        <v>114.98</v>
      </c>
    </row>
    <row r="11" spans="1:43" x14ac:dyDescent="0.3">
      <c r="A11">
        <v>12</v>
      </c>
      <c r="B11">
        <v>45</v>
      </c>
      <c r="C11" t="s">
        <v>257</v>
      </c>
      <c r="D11" t="s">
        <v>480</v>
      </c>
      <c r="E11" t="s">
        <v>887</v>
      </c>
      <c r="G11" s="5">
        <v>7.4502314814814819E-4</v>
      </c>
      <c r="H11" s="5">
        <v>8.0115740740740744E-4</v>
      </c>
      <c r="I11" s="5">
        <v>1.5461805555555556E-3</v>
      </c>
      <c r="K11">
        <v>117770</v>
      </c>
      <c r="L11" s="2">
        <f>_xlfn.LET(_xlpm.x,Table12716313749617385[[#This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7.4502314814814819E-4</v>
      </c>
      <c r="M11" s="3">
        <f>IF(Table12716313749617385[[#This Row],[run 1 times]]="",999.99,IF(Table12716313749617385[[#This Row],[run 1 times]]=$S$3,0,MAX(0,ROUND(((Table12716313749617385[[#This Row],[run 1 times]]-$S$3)/$S$3)*$S$6,2))))</f>
        <v>318.42</v>
      </c>
      <c r="N11" s="2">
        <f>_xlfn.LET(_xlpm.x,Table12716313749617385[[#This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8.0115740740740744E-4</v>
      </c>
      <c r="O11" s="3">
        <f>IF(Table12716313749617385[[#This Row],[run2 times]]="",999.99,IF(Table12716313749617385[[#This Row],[run2 times]]=$T$3,0,MAX(0,ROUND(((Table12716313749617385[[#This Row],[run2 times]]-$T$3)/$T$3)*$S$6,2))))</f>
        <v>277.58999999999997</v>
      </c>
      <c r="P11" s="2">
        <f>IF(OR(Table12716313749617385[[#This Row],[run 1 times]]="",Table12716313749617385[[#This Row],[run2 times]]=""),"",Table12716313749617385[[#This Row],[run 1 times]]+Table12716313749617385[[#This Row],[run2 times]])</f>
        <v>1.5461805555555556E-3</v>
      </c>
      <c r="Q11" s="3">
        <f>IF(Table12716313749617385[[#This Row],[total time]]="",999.99,IF(Table12716313749617385[[#This Row],[total time]]=$U$3,0,MAX(0,ROUND(((Table12716313749617385[[#This Row],[total time]]-$U$3)/$U$3)*$S$6,2))))</f>
        <v>296.86</v>
      </c>
      <c r="W11">
        <v>17</v>
      </c>
      <c r="X11">
        <v>91</v>
      </c>
      <c r="Y11" t="s">
        <v>24</v>
      </c>
      <c r="Z11" t="s">
        <v>547</v>
      </c>
      <c r="AA11" t="s">
        <v>850</v>
      </c>
      <c r="AB11">
        <v>2010</v>
      </c>
      <c r="AC11">
        <v>58.31</v>
      </c>
      <c r="AD11" s="5">
        <v>6.9976851851851851E-4</v>
      </c>
      <c r="AE11" s="5">
        <v>1.3746527777777778E-3</v>
      </c>
      <c r="AG11">
        <v>87565</v>
      </c>
      <c r="AH11" s="2">
        <f>_xlfn.LET(_xlpm.x,Table12211019344052647688[[#This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6.748842592592593E-4</v>
      </c>
      <c r="AI11" s="3">
        <f>IF(Table12211019344052647688[[#This Row],[run 1 times]]="",999.99,IF(Table12211019344052647688[[#This Row],[run 1 times]]=$AO$3,0,MAX(0,ROUND(((Table12211019344052647688[[#This Row],[run 1 times]]-$AO$3)/$AO$3)*$AO$6,2))))</f>
        <v>153.66999999999999</v>
      </c>
      <c r="AJ11" s="2">
        <f>_xlfn.LET(_xlpm.x,Table12211019344052647688[[#This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6.9976851851851851E-4</v>
      </c>
      <c r="AK11" s="3">
        <f>IF(Table12211019344052647688[[#This Row],[run2 times]]="",999.99,IF(Table12211019344052647688[[#This Row],[run2 times]]=$AP$3,0,MAX(0,ROUND(((Table12211019344052647688[[#This Row],[run2 times]]-$AP$3)/$AP$3)*$AO$6,2))))</f>
        <v>165.25</v>
      </c>
      <c r="AL11" s="2">
        <f>IF(OR(Table12211019344052647688[[#This Row],[run 1 times]]="",Table12211019344052647688[[#This Row],[run2 times]]=""),"",Table12211019344052647688[[#This Row],[run 1 times]]+Table12211019344052647688[[#This Row],[run2 times]])</f>
        <v>1.3746527777777778E-3</v>
      </c>
      <c r="AM11" s="3">
        <f>IF(Table12211019344052647688[[#This Row],[total time]]="",999.99,IF(Table12211019344052647688[[#This Row],[total time]]=$AQ$3,0,MAX(0,ROUND(((Table12211019344052647688[[#This Row],[total time]]-$AQ$3)/$AQ$3)*$AO$6,2))))</f>
        <v>147.63999999999999</v>
      </c>
    </row>
    <row r="12" spans="1:43" x14ac:dyDescent="0.3">
      <c r="A12">
        <v>14</v>
      </c>
      <c r="B12">
        <v>47</v>
      </c>
      <c r="C12" t="s">
        <v>257</v>
      </c>
      <c r="D12" t="s">
        <v>480</v>
      </c>
      <c r="E12" t="s">
        <v>689</v>
      </c>
      <c r="G12" s="5">
        <v>8.2245370370370371E-4</v>
      </c>
      <c r="H12" s="5">
        <v>8.8981481481481474E-4</v>
      </c>
      <c r="I12" s="5">
        <v>1.7122685185185186E-3</v>
      </c>
      <c r="K12">
        <v>124075</v>
      </c>
      <c r="L12" s="2">
        <f>_xlfn.LET(_xlpm.x,Table12716313749617385[[#This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8.2245370370370371E-4</v>
      </c>
      <c r="M12" s="3">
        <f>IF(Table12716313749617385[[#This Row],[run 1 times]]="",999.99,IF(Table12716313749617385[[#This Row],[run 1 times]]=$S$3,0,MAX(0,ROUND(((Table12716313749617385[[#This Row],[run 1 times]]-$S$3)/$S$3)*$S$6,2))))</f>
        <v>427.38</v>
      </c>
      <c r="N12" s="2">
        <f>_xlfn.LET(_xlpm.x,Table12716313749617385[[#This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8.8981481481481474E-4</v>
      </c>
      <c r="O12" s="3">
        <f>IF(Table12716313749617385[[#This Row],[run2 times]]="",999.99,IF(Table12716313749617385[[#This Row],[run2 times]]=$T$3,0,MAX(0,ROUND(((Table12716313749617385[[#This Row],[run2 times]]-$T$3)/$T$3)*$S$6,2))))</f>
        <v>389.09</v>
      </c>
      <c r="P12" s="2">
        <f>IF(OR(Table12716313749617385[[#This Row],[run 1 times]]="",Table12716313749617385[[#This Row],[run2 times]]=""),"",Table12716313749617385[[#This Row],[run 1 times]]+Table12716313749617385[[#This Row],[run2 times]])</f>
        <v>1.7122685185185183E-3</v>
      </c>
      <c r="Q12" s="3">
        <f>IF(Table12716313749617385[[#This Row],[total time]]="",999.99,IF(Table12716313749617385[[#This Row],[total time]]=$U$3,0,MAX(0,ROUND(((Table12716313749617385[[#This Row],[total time]]-$U$3)/$U$3)*$S$6,2))))</f>
        <v>407.16</v>
      </c>
      <c r="W12">
        <v>22</v>
      </c>
      <c r="X12">
        <v>96</v>
      </c>
      <c r="Y12" t="s">
        <v>24</v>
      </c>
      <c r="Z12" t="s">
        <v>547</v>
      </c>
      <c r="AA12" t="s">
        <v>751</v>
      </c>
      <c r="AB12">
        <v>2010</v>
      </c>
      <c r="AC12">
        <v>59.96</v>
      </c>
      <c r="AD12" s="5">
        <v>7.0532407407407403E-4</v>
      </c>
      <c r="AE12" s="5">
        <v>1.3993055555555555E-3</v>
      </c>
      <c r="AG12">
        <v>88776</v>
      </c>
      <c r="AH12" s="2">
        <f>_xlfn.LET(_xlpm.x,Table12211019344052647688[[#This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6.9398148148148151E-4</v>
      </c>
      <c r="AI12" s="3">
        <f>IF(Table12211019344052647688[[#This Row],[run 1 times]]="",999.99,IF(Table12211019344052647688[[#This Row],[run 1 times]]=$AO$3,0,MAX(0,ROUND(((Table12211019344052647688[[#This Row],[run 1 times]]-$AO$3)/$AO$3)*$AO$6,2))))</f>
        <v>178.67</v>
      </c>
      <c r="AJ12" s="2">
        <f>_xlfn.LET(_xlpm.x,Table12211019344052647688[[#This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7.0532407407407403E-4</v>
      </c>
      <c r="AK12" s="3">
        <f>IF(Table12211019344052647688[[#This Row],[run2 times]]="",999.99,IF(Table12211019344052647688[[#This Row],[run2 times]]=$AP$3,0,MAX(0,ROUND(((Table12211019344052647688[[#This Row],[run2 times]]-$AP$3)/$AP$3)*$AO$6,2))))</f>
        <v>172.36</v>
      </c>
      <c r="AL12" s="2">
        <f>IF(OR(Table12211019344052647688[[#This Row],[run 1 times]]="",Table12211019344052647688[[#This Row],[run2 times]]=""),"",Table12211019344052647688[[#This Row],[run 1 times]]+Table12211019344052647688[[#This Row],[run2 times]])</f>
        <v>1.3993055555555555E-3</v>
      </c>
      <c r="AM12" s="3">
        <f>IF(Table12211019344052647688[[#This Row],[total time]]="",999.99,IF(Table12211019344052647688[[#This Row],[total time]]=$AQ$3,0,MAX(0,ROUND(((Table12211019344052647688[[#This Row],[total time]]-$AQ$3)/$AQ$3)*$AO$6,2))))</f>
        <v>163.38</v>
      </c>
    </row>
    <row r="13" spans="1:43" x14ac:dyDescent="0.3">
      <c r="A13">
        <v>9</v>
      </c>
      <c r="B13">
        <v>42</v>
      </c>
      <c r="C13" t="s">
        <v>373</v>
      </c>
      <c r="D13" t="s">
        <v>480</v>
      </c>
      <c r="E13" t="s">
        <v>687</v>
      </c>
      <c r="F13">
        <v>2015</v>
      </c>
      <c r="G13" s="5">
        <v>8.2638888888888898E-4</v>
      </c>
      <c r="H13" s="5">
        <v>9.1064814814814828E-4</v>
      </c>
      <c r="I13" s="5">
        <v>1.7370370370370369E-3</v>
      </c>
      <c r="K13">
        <v>119094</v>
      </c>
      <c r="L13" s="2">
        <f>_xlfn.LET(_xlpm.x,Table12716313749617385[[#This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8.2638888888888898E-4</v>
      </c>
      <c r="M13" s="3">
        <f>IF(Table12716313749617385[[#This Row],[run 1 times]]="",999.99,IF(Table12716313749617385[[#This Row],[run 1 times]]=$S$3,0,MAX(0,ROUND(((Table12716313749617385[[#This Row],[run 1 times]]-$S$3)/$S$3)*$S$6,2))))</f>
        <v>432.92</v>
      </c>
      <c r="N13" s="2">
        <f>_xlfn.LET(_xlpm.x,Table12716313749617385[[#This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9.1064814814814828E-4</v>
      </c>
      <c r="O13" s="3">
        <f>IF(Table12716313749617385[[#This Row],[run2 times]]="",999.99,IF(Table12716313749617385[[#This Row],[run2 times]]=$T$3,0,MAX(0,ROUND(((Table12716313749617385[[#This Row],[run2 times]]-$T$3)/$T$3)*$S$6,2))))</f>
        <v>415.29</v>
      </c>
      <c r="P13" s="2">
        <f>IF(OR(Table12716313749617385[[#This Row],[run 1 times]]="",Table12716313749617385[[#This Row],[run2 times]]=""),"",Table12716313749617385[[#This Row],[run 1 times]]+Table12716313749617385[[#This Row],[run2 times]])</f>
        <v>1.7370370370370374E-3</v>
      </c>
      <c r="Q13" s="3">
        <f>IF(Table12716313749617385[[#This Row],[total time]]="",999.99,IF(Table12716313749617385[[#This Row],[total time]]=$U$3,0,MAX(0,ROUND(((Table12716313749617385[[#This Row],[total time]]-$U$3)/$U$3)*$S$6,2))))</f>
        <v>423.61</v>
      </c>
      <c r="W13">
        <v>24</v>
      </c>
      <c r="X13">
        <v>98</v>
      </c>
      <c r="Y13" t="s">
        <v>223</v>
      </c>
      <c r="Z13" t="s">
        <v>547</v>
      </c>
      <c r="AA13" t="s">
        <v>746</v>
      </c>
      <c r="AB13">
        <v>2011</v>
      </c>
      <c r="AC13" t="s">
        <v>512</v>
      </c>
      <c r="AD13">
        <v>53.12</v>
      </c>
      <c r="AG13">
        <v>93462</v>
      </c>
      <c r="AH13" s="2" t="str">
        <f>_xlfn.LET(_xlpm.x,Table12211019344052647688[[#This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13" s="3">
        <f>IF(Table12211019344052647688[[#This Row],[run 1 times]]="",999.99,IF(Table12211019344052647688[[#This Row],[run 1 times]]=$AO$3,0,MAX(0,ROUND(((Table12211019344052647688[[#This Row],[run 1 times]]-$AO$3)/$AO$3)*$AO$6,2))))</f>
        <v>999.99</v>
      </c>
      <c r="AJ13" s="2">
        <f>_xlfn.LET(_xlpm.x,Table12211019344052647688[[#This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6.1481481481481478E-4</v>
      </c>
      <c r="AK13" s="3">
        <f>IF(Table12211019344052647688[[#This Row],[run2 times]]="",999.99,IF(Table12211019344052647688[[#This Row],[run2 times]]=$AP$3,0,MAX(0,ROUND(((Table12211019344052647688[[#This Row],[run2 times]]-$AP$3)/$AP$3)*$AO$6,2))))</f>
        <v>56.56</v>
      </c>
      <c r="AL13" s="2" t="str">
        <f>IF(OR(Table12211019344052647688[[#This Row],[run 1 times]]="",Table12211019344052647688[[#This Row],[run2 times]]=""),"",Table12211019344052647688[[#This Row],[run 1 times]]+Table12211019344052647688[[#This Row],[run2 times]])</f>
        <v/>
      </c>
      <c r="AM13" s="3">
        <f>IF(Table12211019344052647688[[#This Row],[total time]]="",999.99,IF(Table12211019344052647688[[#This Row],[total time]]=$AQ$3,0,MAX(0,ROUND(((Table12211019344052647688[[#This Row],[total time]]-$AQ$3)/$AQ$3)*$AO$6,2))))</f>
        <v>999.99</v>
      </c>
    </row>
    <row r="14" spans="1:43" x14ac:dyDescent="0.3">
      <c r="A14">
        <v>11</v>
      </c>
      <c r="B14">
        <v>44</v>
      </c>
      <c r="C14" t="s">
        <v>373</v>
      </c>
      <c r="D14" t="s">
        <v>480</v>
      </c>
      <c r="E14" t="s">
        <v>696</v>
      </c>
      <c r="F14">
        <v>2014</v>
      </c>
      <c r="G14" t="s">
        <v>512</v>
      </c>
      <c r="H14">
        <v>58.62</v>
      </c>
      <c r="K14">
        <v>107242</v>
      </c>
      <c r="L14" s="2" t="str">
        <f>_xlfn.LET(_xlpm.x,Table12716313749617385[[#This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14" s="3">
        <f>IF(Table12716313749617385[[#This Row],[run 1 times]]="",999.99,IF(Table12716313749617385[[#This Row],[run 1 times]]=$S$3,0,MAX(0,ROUND(((Table12716313749617385[[#This Row],[run 1 times]]-$S$3)/$S$3)*$S$6,2))))</f>
        <v>999.99</v>
      </c>
      <c r="N14" s="2">
        <f>_xlfn.LET(_xlpm.x,Table12716313749617385[[#This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6.7847222222222224E-4</v>
      </c>
      <c r="O14" s="3">
        <f>IF(Table12716313749617385[[#This Row],[run2 times]]="",999.99,IF(Table12716313749617385[[#This Row],[run2 times]]=$T$3,0,MAX(0,ROUND(((Table12716313749617385[[#This Row],[run2 times]]-$T$3)/$T$3)*$S$6,2))))</f>
        <v>123.29</v>
      </c>
      <c r="P14" s="2" t="str">
        <f>IF(OR(Table12716313749617385[[#This Row],[run 1 times]]="",Table12716313749617385[[#This Row],[run2 times]]=""),"",Table12716313749617385[[#This Row],[run 1 times]]+Table12716313749617385[[#This Row],[run2 times]])</f>
        <v/>
      </c>
      <c r="Q14" s="3">
        <f>IF(Table12716313749617385[[#This Row],[total time]]="",999.99,IF(Table12716313749617385[[#This Row],[total time]]=$U$3,0,MAX(0,ROUND(((Table12716313749617385[[#This Row],[total time]]-$U$3)/$U$3)*$S$6,2))))</f>
        <v>999.99</v>
      </c>
      <c r="W14">
        <v>23</v>
      </c>
      <c r="X14">
        <v>97</v>
      </c>
      <c r="Y14" t="s">
        <v>24</v>
      </c>
      <c r="Z14" t="s">
        <v>547</v>
      </c>
      <c r="AA14" t="s">
        <v>762</v>
      </c>
      <c r="AB14">
        <v>2011</v>
      </c>
      <c r="AC14" t="s">
        <v>512</v>
      </c>
      <c r="AD14">
        <v>51.88</v>
      </c>
      <c r="AG14">
        <v>89867</v>
      </c>
      <c r="AH14" s="2" t="str">
        <f>_xlfn.LET(_xlpm.x,Table12211019344052647688[[#This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14" s="3">
        <f>IF(Table12211019344052647688[[#This Row],[run 1 times]]="",999.99,IF(Table12211019344052647688[[#This Row],[run 1 times]]=$AO$3,0,MAX(0,ROUND(((Table12211019344052647688[[#This Row],[run 1 times]]-$AO$3)/$AO$3)*$AO$6,2))))</f>
        <v>999.99</v>
      </c>
      <c r="AJ14" s="2">
        <f>_xlfn.LET(_xlpm.x,Table12211019344052647688[[#This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6.0046296296296302E-4</v>
      </c>
      <c r="AK14" s="3">
        <f>IF(Table12211019344052647688[[#This Row],[run2 times]]="",999.99,IF(Table12211019344052647688[[#This Row],[run2 times]]=$AP$3,0,MAX(0,ROUND(((Table12211019344052647688[[#This Row],[run2 times]]-$AP$3)/$AP$3)*$AO$6,2))))</f>
        <v>38.200000000000003</v>
      </c>
      <c r="AL14" s="2" t="str">
        <f>IF(OR(Table12211019344052647688[[#This Row],[run 1 times]]="",Table12211019344052647688[[#This Row],[run2 times]]=""),"",Table12211019344052647688[[#This Row],[run 1 times]]+Table12211019344052647688[[#This Row],[run2 times]])</f>
        <v/>
      </c>
      <c r="AM14" s="3">
        <f>IF(Table12211019344052647688[[#This Row],[total time]]="",999.99,IF(Table12211019344052647688[[#This Row],[total time]]=$AQ$3,0,MAX(0,ROUND(((Table12211019344052647688[[#This Row],[total time]]-$AQ$3)/$AQ$3)*$AO$6,2))))</f>
        <v>999.99</v>
      </c>
    </row>
    <row r="15" spans="1:43" x14ac:dyDescent="0.3">
      <c r="A15">
        <v>15</v>
      </c>
      <c r="B15">
        <v>48</v>
      </c>
      <c r="C15" t="s">
        <v>373</v>
      </c>
      <c r="D15" t="s">
        <v>480</v>
      </c>
      <c r="E15" t="s">
        <v>694</v>
      </c>
      <c r="F15">
        <v>2014</v>
      </c>
      <c r="G15">
        <v>56.26</v>
      </c>
      <c r="H15" t="s">
        <v>512</v>
      </c>
      <c r="K15">
        <v>112394</v>
      </c>
      <c r="L15" s="2">
        <f>_xlfn.LET(_xlpm.x,Table12716313749617385[[#This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6.5115740740740737E-4</v>
      </c>
      <c r="M15" s="3">
        <f>IF(Table12716313749617385[[#This Row],[run 1 times]]="",999.99,IF(Table12716313749617385[[#This Row],[run 1 times]]=$S$3,0,MAX(0,ROUND(((Table12716313749617385[[#This Row],[run 1 times]]-$S$3)/$S$3)*$S$6,2))))</f>
        <v>186.33</v>
      </c>
      <c r="N15" s="2" t="str">
        <f>_xlfn.LET(_xlpm.x,Table12716313749617385[[#This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15" s="3">
        <f>IF(Table12716313749617385[[#This Row],[run2 times]]="",999.99,IF(Table12716313749617385[[#This Row],[run2 times]]=$T$3,0,MAX(0,ROUND(((Table12716313749617385[[#This Row],[run2 times]]-$T$3)/$T$3)*$S$6,2))))</f>
        <v>999.99</v>
      </c>
      <c r="P15" s="2" t="str">
        <f>IF(OR(Table12716313749617385[[#This Row],[run 1 times]]="",Table12716313749617385[[#This Row],[run2 times]]=""),"",Table12716313749617385[[#This Row],[run 1 times]]+Table12716313749617385[[#This Row],[run2 times]])</f>
        <v/>
      </c>
      <c r="Q15" s="3">
        <f>IF(Table12716313749617385[[#This Row],[total time]]="",999.99,IF(Table12716313749617385[[#This Row],[total time]]=$U$3,0,MAX(0,ROUND(((Table12716313749617385[[#This Row],[total time]]-$U$3)/$U$3)*$S$6,2))))</f>
        <v>999.99</v>
      </c>
      <c r="W15">
        <v>2</v>
      </c>
      <c r="X15">
        <v>76</v>
      </c>
      <c r="Y15" t="s">
        <v>373</v>
      </c>
      <c r="Z15" t="s">
        <v>547</v>
      </c>
      <c r="AA15" t="s">
        <v>753</v>
      </c>
      <c r="AB15">
        <v>2011</v>
      </c>
      <c r="AC15" t="s">
        <v>512</v>
      </c>
      <c r="AD15">
        <v>59.01</v>
      </c>
      <c r="AG15">
        <v>112387</v>
      </c>
      <c r="AH15" s="2" t="str">
        <f>_xlfn.LET(_xlpm.x,Table12211019344052647688[[#This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15" s="3">
        <f>IF(Table12211019344052647688[[#This Row],[run 1 times]]="",999.99,IF(Table12211019344052647688[[#This Row],[run 1 times]]=$AO$3,0,MAX(0,ROUND(((Table12211019344052647688[[#This Row],[run 1 times]]-$AO$3)/$AO$3)*$AO$6,2))))</f>
        <v>999.99</v>
      </c>
      <c r="AJ15" s="2">
        <f>_xlfn.LET(_xlpm.x,Table12211019344052647688[[#This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6.829861111111111E-4</v>
      </c>
      <c r="AK15" s="3">
        <f>IF(Table12211019344052647688[[#This Row],[run2 times]]="",999.99,IF(Table12211019344052647688[[#This Row],[run2 times]]=$AP$3,0,MAX(0,ROUND(((Table12211019344052647688[[#This Row],[run2 times]]-$AP$3)/$AP$3)*$AO$6,2))))</f>
        <v>143.78</v>
      </c>
      <c r="AL15" s="2" t="str">
        <f>IF(OR(Table12211019344052647688[[#This Row],[run 1 times]]="",Table12211019344052647688[[#This Row],[run2 times]]=""),"",Table12211019344052647688[[#This Row],[run 1 times]]+Table12211019344052647688[[#This Row],[run2 times]])</f>
        <v/>
      </c>
      <c r="AM15" s="3">
        <f>IF(Table12211019344052647688[[#This Row],[total time]]="",999.99,IF(Table12211019344052647688[[#This Row],[total time]]=$AQ$3,0,MAX(0,ROUND(((Table12211019344052647688[[#This Row],[total time]]-$AQ$3)/$AQ$3)*$AO$6,2))))</f>
        <v>999.99</v>
      </c>
    </row>
    <row r="16" spans="1:43" x14ac:dyDescent="0.3">
      <c r="A16">
        <v>18</v>
      </c>
      <c r="B16">
        <v>51</v>
      </c>
      <c r="C16" t="s">
        <v>257</v>
      </c>
      <c r="D16" t="s">
        <v>522</v>
      </c>
      <c r="E16" t="s">
        <v>709</v>
      </c>
      <c r="F16">
        <v>2012</v>
      </c>
      <c r="G16">
        <v>44.82</v>
      </c>
      <c r="H16">
        <v>50.15</v>
      </c>
      <c r="I16" s="5">
        <v>1.0991898148148148E-3</v>
      </c>
      <c r="K16">
        <v>107305</v>
      </c>
      <c r="L16" s="2">
        <f>_xlfn.LET(_xlpm.x,Table12716313749617385[[#This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5.1875000000000001E-4</v>
      </c>
      <c r="M16" s="3">
        <f>IF(Table12716313749617385[[#This Row],[run 1 times]]="",999.99,IF(Table12716313749617385[[#This Row],[run 1 times]]=$S$3,0,MAX(0,ROUND(((Table12716313749617385[[#This Row],[run 1 times]]-$S$3)/$S$3)*$S$6,2))))</f>
        <v>0</v>
      </c>
      <c r="N16" s="2">
        <f>_xlfn.LET(_xlpm.x,Table12716313749617385[[#This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5.8043981481481477E-4</v>
      </c>
      <c r="O16" s="3">
        <f>IF(Table12716313749617385[[#This Row],[run2 times]]="",999.99,IF(Table12716313749617385[[#This Row],[run2 times]]=$T$3,0,MAX(0,ROUND(((Table12716313749617385[[#This Row],[run2 times]]-$T$3)/$T$3)*$S$6,2))))</f>
        <v>0</v>
      </c>
      <c r="P16" s="2">
        <f>IF(OR(Table12716313749617385[[#This Row],[run 1 times]]="",Table12716313749617385[[#This Row],[run2 times]]=""),"",Table12716313749617385[[#This Row],[run 1 times]]+Table12716313749617385[[#This Row],[run2 times]])</f>
        <v>1.0991898148148148E-3</v>
      </c>
      <c r="Q16" s="3">
        <f>IF(Table12716313749617385[[#This Row],[total time]]="",999.99,IF(Table12716313749617385[[#This Row],[total time]]=$U$3,0,MAX(0,ROUND(((Table12716313749617385[[#This Row],[total time]]-$U$3)/$U$3)*$S$6,2))))</f>
        <v>0</v>
      </c>
      <c r="W16">
        <v>1</v>
      </c>
      <c r="X16">
        <v>75</v>
      </c>
      <c r="Y16" t="s">
        <v>257</v>
      </c>
      <c r="Z16" t="s">
        <v>547</v>
      </c>
      <c r="AA16" t="s">
        <v>767</v>
      </c>
      <c r="AB16">
        <v>2010</v>
      </c>
      <c r="AC16" t="s">
        <v>512</v>
      </c>
      <c r="AD16">
        <v>54.85</v>
      </c>
      <c r="AG16">
        <v>106380</v>
      </c>
      <c r="AH16" s="2" t="str">
        <f>_xlfn.LET(_xlpm.x,Table12211019344052647688[[#This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16" s="3">
        <f>IF(Table12211019344052647688[[#This Row],[run 1 times]]="",999.99,IF(Table12211019344052647688[[#This Row],[run 1 times]]=$AO$3,0,MAX(0,ROUND(((Table12211019344052647688[[#This Row],[run 1 times]]-$AO$3)/$AO$3)*$AO$6,2))))</f>
        <v>999.99</v>
      </c>
      <c r="AJ16" s="2">
        <f>_xlfn.LET(_xlpm.x,Table12211019344052647688[[#This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6.3483796296296302E-4</v>
      </c>
      <c r="AK16" s="3">
        <f>IF(Table12211019344052647688[[#This Row],[run2 times]]="",999.99,IF(Table12211019344052647688[[#This Row],[run2 times]]=$AP$3,0,MAX(0,ROUND(((Table12211019344052647688[[#This Row],[run2 times]]-$AP$3)/$AP$3)*$AO$6,2))))</f>
        <v>82.18</v>
      </c>
      <c r="AL16" s="2" t="str">
        <f>IF(OR(Table12211019344052647688[[#This Row],[run 1 times]]="",Table12211019344052647688[[#This Row],[run2 times]]=""),"",Table12211019344052647688[[#This Row],[run 1 times]]+Table12211019344052647688[[#This Row],[run2 times]])</f>
        <v/>
      </c>
      <c r="AM16" s="3">
        <f>IF(Table12211019344052647688[[#This Row],[total time]]="",999.99,IF(Table12211019344052647688[[#This Row],[total time]]=$AQ$3,0,MAX(0,ROUND(((Table12211019344052647688[[#This Row],[total time]]-$AQ$3)/$AQ$3)*$AO$6,2))))</f>
        <v>999.99</v>
      </c>
    </row>
    <row r="17" spans="1:39" x14ac:dyDescent="0.3">
      <c r="A17">
        <v>4</v>
      </c>
      <c r="B17">
        <v>37</v>
      </c>
      <c r="C17" t="s">
        <v>373</v>
      </c>
      <c r="D17" t="s">
        <v>522</v>
      </c>
      <c r="E17" t="s">
        <v>674</v>
      </c>
      <c r="F17">
        <v>2012</v>
      </c>
      <c r="G17">
        <v>48.28</v>
      </c>
      <c r="H17">
        <v>53.08</v>
      </c>
      <c r="I17" s="5">
        <v>1.1731481481481482E-3</v>
      </c>
      <c r="K17">
        <v>122060</v>
      </c>
      <c r="L17" s="2">
        <f>_xlfn.LET(_xlpm.x,Table12716313749617385[[#This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5.5879629629629628E-4</v>
      </c>
      <c r="M17" s="3">
        <f>IF(Table12716313749617385[[#This Row],[run 1 times]]="",999.99,IF(Table12716313749617385[[#This Row],[run 1 times]]=$S$3,0,MAX(0,ROUND(((Table12716313749617385[[#This Row],[run 1 times]]-$S$3)/$S$3)*$S$6,2))))</f>
        <v>56.35</v>
      </c>
      <c r="N17" s="2">
        <f>_xlfn.LET(_xlpm.x,Table12716313749617385[[#This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6.1435185185185182E-4</v>
      </c>
      <c r="O17" s="3">
        <f>IF(Table12716313749617385[[#This Row],[run2 times]]="",999.99,IF(Table12716313749617385[[#This Row],[run2 times]]=$T$3,0,MAX(0,ROUND(((Table12716313749617385[[#This Row],[run2 times]]-$T$3)/$T$3)*$S$6,2))))</f>
        <v>42.65</v>
      </c>
      <c r="P17" s="2">
        <f>IF(OR(Table12716313749617385[[#This Row],[run 1 times]]="",Table12716313749617385[[#This Row],[run2 times]]=""),"",Table12716313749617385[[#This Row],[run 1 times]]+Table12716313749617385[[#This Row],[run2 times]])</f>
        <v>1.173148148148148E-3</v>
      </c>
      <c r="Q17" s="3">
        <f>IF(Table12716313749617385[[#This Row],[total time]]="",999.99,IF(Table12716313749617385[[#This Row],[total time]]=$U$3,0,MAX(0,ROUND(((Table12716313749617385[[#This Row],[total time]]-$U$3)/$U$3)*$S$6,2))))</f>
        <v>49.12</v>
      </c>
      <c r="W17">
        <v>8</v>
      </c>
      <c r="X17">
        <v>82</v>
      </c>
      <c r="Y17" t="s">
        <v>24</v>
      </c>
      <c r="Z17" t="s">
        <v>547</v>
      </c>
      <c r="AA17" t="s">
        <v>754</v>
      </c>
      <c r="AB17">
        <v>2010</v>
      </c>
      <c r="AC17">
        <v>52.66</v>
      </c>
      <c r="AD17" t="s">
        <v>512</v>
      </c>
      <c r="AG17">
        <v>93749</v>
      </c>
      <c r="AH17" s="2">
        <f>_xlfn.LET(_xlpm.x,Table12211019344052647688[[#This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6.0949074074074074E-4</v>
      </c>
      <c r="AI17" s="3">
        <f>IF(Table12211019344052647688[[#This Row],[run 1 times]]="",999.99,IF(Table12211019344052647688[[#This Row],[run 1 times]]=$AO$3,0,MAX(0,ROUND(((Table12211019344052647688[[#This Row],[run 1 times]]-$AO$3)/$AO$3)*$AO$6,2))))</f>
        <v>68.040000000000006</v>
      </c>
      <c r="AJ17" s="2" t="str">
        <f>_xlfn.LET(_xlpm.x,Table12211019344052647688[[#This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17" s="3">
        <f>IF(Table12211019344052647688[[#This Row],[run2 times]]="",999.99,IF(Table12211019344052647688[[#This Row],[run2 times]]=$AP$3,0,MAX(0,ROUND(((Table12211019344052647688[[#This Row],[run2 times]]-$AP$3)/$AP$3)*$AO$6,2))))</f>
        <v>999.99</v>
      </c>
      <c r="AL17" s="2" t="str">
        <f>IF(OR(Table12211019344052647688[[#This Row],[run 1 times]]="",Table12211019344052647688[[#This Row],[run2 times]]=""),"",Table12211019344052647688[[#This Row],[run 1 times]]+Table12211019344052647688[[#This Row],[run2 times]])</f>
        <v/>
      </c>
      <c r="AM17" s="3">
        <f>IF(Table12211019344052647688[[#This Row],[total time]]="",999.99,IF(Table12211019344052647688[[#This Row],[total time]]=$AQ$3,0,MAX(0,ROUND(((Table12211019344052647688[[#This Row],[total time]]-$AQ$3)/$AQ$3)*$AO$6,2))))</f>
        <v>999.99</v>
      </c>
    </row>
    <row r="18" spans="1:39" x14ac:dyDescent="0.3">
      <c r="A18">
        <v>13</v>
      </c>
      <c r="B18">
        <v>46</v>
      </c>
      <c r="C18" t="s">
        <v>223</v>
      </c>
      <c r="D18" t="s">
        <v>522</v>
      </c>
      <c r="E18" t="s">
        <v>672</v>
      </c>
      <c r="F18">
        <v>2013</v>
      </c>
      <c r="G18">
        <v>50.17</v>
      </c>
      <c r="H18">
        <v>53.28</v>
      </c>
      <c r="I18" s="5">
        <v>1.197337962962963E-3</v>
      </c>
      <c r="K18">
        <v>105181</v>
      </c>
      <c r="L18" s="2">
        <f>_xlfn.LET(_xlpm.x,Table12716313749617385[[#This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5.8067129629629636E-4</v>
      </c>
      <c r="M18" s="3">
        <f>IF(Table12716313749617385[[#This Row],[run 1 times]]="",999.99,IF(Table12716313749617385[[#This Row],[run 1 times]]=$S$3,0,MAX(0,ROUND(((Table12716313749617385[[#This Row],[run 1 times]]-$S$3)/$S$3)*$S$6,2))))</f>
        <v>87.14</v>
      </c>
      <c r="N18" s="2">
        <f>_xlfn.LET(_xlpm.x,Table12716313749617385[[#This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6.1666666666666673E-4</v>
      </c>
      <c r="O18" s="3">
        <f>IF(Table12716313749617385[[#This Row],[run2 times]]="",999.99,IF(Table12716313749617385[[#This Row],[run2 times]]=$T$3,0,MAX(0,ROUND(((Table12716313749617385[[#This Row],[run2 times]]-$T$3)/$T$3)*$S$6,2))))</f>
        <v>45.56</v>
      </c>
      <c r="P18" s="2">
        <f>IF(OR(Table12716313749617385[[#This Row],[run 1 times]]="",Table12716313749617385[[#This Row],[run2 times]]=""),"",Table12716313749617385[[#This Row],[run 1 times]]+Table12716313749617385[[#This Row],[run2 times]])</f>
        <v>1.197337962962963E-3</v>
      </c>
      <c r="Q18" s="3">
        <f>IF(Table12716313749617385[[#This Row],[total time]]="",999.99,IF(Table12716313749617385[[#This Row],[total time]]=$U$3,0,MAX(0,ROUND(((Table12716313749617385[[#This Row],[total time]]-$U$3)/$U$3)*$S$6,2))))</f>
        <v>65.180000000000007</v>
      </c>
      <c r="W18">
        <v>6</v>
      </c>
      <c r="X18">
        <v>80</v>
      </c>
      <c r="Y18" t="s">
        <v>24</v>
      </c>
      <c r="Z18" t="s">
        <v>547</v>
      </c>
      <c r="AA18" t="s">
        <v>759</v>
      </c>
      <c r="AB18">
        <v>2011</v>
      </c>
      <c r="AC18">
        <v>50.89</v>
      </c>
      <c r="AD18" t="s">
        <v>512</v>
      </c>
      <c r="AG18">
        <v>88784</v>
      </c>
      <c r="AH18" s="2">
        <f>_xlfn.LET(_xlpm.x,Table12211019344052647688[[#This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5.8900462962962964E-4</v>
      </c>
      <c r="AI18" s="3">
        <f>IF(Table12211019344052647688[[#This Row],[run 1 times]]="",999.99,IF(Table12211019344052647688[[#This Row],[run 1 times]]=$AO$3,0,MAX(0,ROUND(((Table12211019344052647688[[#This Row],[run 1 times]]-$AO$3)/$AO$3)*$AO$6,2))))</f>
        <v>41.22</v>
      </c>
      <c r="AJ18" s="2" t="str">
        <f>_xlfn.LET(_xlpm.x,Table12211019344052647688[[#This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18" s="3">
        <f>IF(Table12211019344052647688[[#This Row],[run2 times]]="",999.99,IF(Table12211019344052647688[[#This Row],[run2 times]]=$AP$3,0,MAX(0,ROUND(((Table12211019344052647688[[#This Row],[run2 times]]-$AP$3)/$AP$3)*$AO$6,2))))</f>
        <v>999.99</v>
      </c>
      <c r="AL18" s="2" t="str">
        <f>IF(OR(Table12211019344052647688[[#This Row],[run 1 times]]="",Table12211019344052647688[[#This Row],[run2 times]]=""),"",Table12211019344052647688[[#This Row],[run 1 times]]+Table12211019344052647688[[#This Row],[run2 times]])</f>
        <v/>
      </c>
      <c r="AM18" s="3">
        <f>IF(Table12211019344052647688[[#This Row],[total time]]="",999.99,IF(Table12211019344052647688[[#This Row],[total time]]=$AQ$3,0,MAX(0,ROUND(((Table12211019344052647688[[#This Row],[total time]]-$AQ$3)/$AQ$3)*$AO$6,2))))</f>
        <v>999.99</v>
      </c>
    </row>
    <row r="19" spans="1:39" x14ac:dyDescent="0.3">
      <c r="A19">
        <v>7</v>
      </c>
      <c r="B19">
        <v>40</v>
      </c>
      <c r="C19" t="s">
        <v>257</v>
      </c>
      <c r="D19" t="s">
        <v>522</v>
      </c>
      <c r="E19" t="s">
        <v>712</v>
      </c>
      <c r="F19">
        <v>2012</v>
      </c>
      <c r="G19">
        <v>49.58</v>
      </c>
      <c r="H19">
        <v>55.96</v>
      </c>
      <c r="I19" s="5">
        <v>1.2215277777777778E-3</v>
      </c>
      <c r="K19">
        <v>117686</v>
      </c>
      <c r="L19" s="2">
        <f>_xlfn.LET(_xlpm.x,Table12716313749617385[[#This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5.7384259259259259E-4</v>
      </c>
      <c r="M19" s="3">
        <f>IF(Table12716313749617385[[#This Row],[run 1 times]]="",999.99,IF(Table12716313749617385[[#This Row],[run 1 times]]=$S$3,0,MAX(0,ROUND(((Table12716313749617385[[#This Row],[run 1 times]]-$S$3)/$S$3)*$S$6,2))))</f>
        <v>77.53</v>
      </c>
      <c r="N19" s="2">
        <f>_xlfn.LET(_xlpm.x,Table12716313749617385[[#This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6.4768518518518517E-4</v>
      </c>
      <c r="O19" s="3">
        <f>IF(Table12716313749617385[[#This Row],[run2 times]]="",999.99,IF(Table12716313749617385[[#This Row],[run2 times]]=$T$3,0,MAX(0,ROUND(((Table12716313749617385[[#This Row],[run2 times]]-$T$3)/$T$3)*$S$6,2))))</f>
        <v>84.57</v>
      </c>
      <c r="P19" s="2">
        <f>IF(OR(Table12716313749617385[[#This Row],[run 1 times]]="",Table12716313749617385[[#This Row],[run2 times]]=""),"",Table12716313749617385[[#This Row],[run 1 times]]+Table12716313749617385[[#This Row],[run2 times]])</f>
        <v>1.2215277777777778E-3</v>
      </c>
      <c r="Q19" s="3">
        <f>IF(Table12716313749617385[[#This Row],[total time]]="",999.99,IF(Table12716313749617385[[#This Row],[total time]]=$U$3,0,MAX(0,ROUND(((Table12716313749617385[[#This Row],[total time]]-$U$3)/$U$3)*$S$6,2))))</f>
        <v>81.25</v>
      </c>
      <c r="W19">
        <v>16</v>
      </c>
      <c r="X19">
        <v>90</v>
      </c>
      <c r="Y19" t="s">
        <v>257</v>
      </c>
      <c r="Z19" t="s">
        <v>552</v>
      </c>
      <c r="AA19" t="s">
        <v>763</v>
      </c>
      <c r="AB19">
        <v>2008</v>
      </c>
      <c r="AC19">
        <v>49.05</v>
      </c>
      <c r="AD19">
        <v>50.74</v>
      </c>
      <c r="AE19" s="5">
        <v>1.1549768518518517E-3</v>
      </c>
      <c r="AG19">
        <v>87497</v>
      </c>
      <c r="AH19" s="2">
        <f>_xlfn.LET(_xlpm.x,Table12211019344052647688[[#This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5.6770833333333326E-4</v>
      </c>
      <c r="AI19" s="3">
        <f>IF(Table12211019344052647688[[#This Row],[run 1 times]]="",999.99,IF(Table12211019344052647688[[#This Row],[run 1 times]]=$AO$3,0,MAX(0,ROUND(((Table12211019344052647688[[#This Row],[run 1 times]]-$AO$3)/$AO$3)*$AO$6,2))))</f>
        <v>13.34</v>
      </c>
      <c r="AJ19" s="2">
        <f>_xlfn.LET(_xlpm.x,Table12211019344052647688[[#This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5.8726851851851854E-4</v>
      </c>
      <c r="AK19" s="3">
        <f>IF(Table12211019344052647688[[#This Row],[run2 times]]="",999.99,IF(Table12211019344052647688[[#This Row],[run2 times]]=$AP$3,0,MAX(0,ROUND(((Table12211019344052647688[[#This Row],[run2 times]]-$AP$3)/$AP$3)*$AO$6,2))))</f>
        <v>21.32</v>
      </c>
      <c r="AL19" s="2">
        <f>IF(OR(Table12211019344052647688[[#This Row],[run 1 times]]="",Table12211019344052647688[[#This Row],[run2 times]]=""),"",Table12211019344052647688[[#This Row],[run 1 times]]+Table12211019344052647688[[#This Row],[run2 times]])</f>
        <v>1.1549768518518519E-3</v>
      </c>
      <c r="AM19" s="3">
        <f>IF(Table12211019344052647688[[#This Row],[total time]]="",999.99,IF(Table12211019344052647688[[#This Row],[total time]]=$AQ$3,0,MAX(0,ROUND(((Table12211019344052647688[[#This Row],[total time]]-$AQ$3)/$AQ$3)*$AO$6,2))))</f>
        <v>7.39</v>
      </c>
    </row>
    <row r="20" spans="1:39" x14ac:dyDescent="0.3">
      <c r="A20">
        <v>20</v>
      </c>
      <c r="B20">
        <v>53</v>
      </c>
      <c r="C20" t="s">
        <v>24</v>
      </c>
      <c r="D20" t="s">
        <v>522</v>
      </c>
      <c r="E20" t="s">
        <v>893</v>
      </c>
      <c r="F20">
        <v>2013</v>
      </c>
      <c r="G20">
        <v>54.01</v>
      </c>
      <c r="H20" s="5">
        <v>7.092592592592593E-4</v>
      </c>
      <c r="I20" s="5">
        <v>1.3343749999999998E-3</v>
      </c>
      <c r="K20">
        <v>102827</v>
      </c>
      <c r="L20" s="2">
        <f>_xlfn.LET(_xlpm.x,Table12716313749617385[[#This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6.2511574074074075E-4</v>
      </c>
      <c r="M20" s="3">
        <f>IF(Table12716313749617385[[#This Row],[run 1 times]]="",999.99,IF(Table12716313749617385[[#This Row],[run 1 times]]=$S$3,0,MAX(0,ROUND(((Table12716313749617385[[#This Row],[run 1 times]]-$S$3)/$S$3)*$S$6,2))))</f>
        <v>149.68</v>
      </c>
      <c r="N20" s="2">
        <f>_xlfn.LET(_xlpm.x,Table12716313749617385[[#This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7.092592592592593E-4</v>
      </c>
      <c r="O20" s="3">
        <f>IF(Table12716313749617385[[#This Row],[run2 times]]="",999.99,IF(Table12716313749617385[[#This Row],[run2 times]]=$T$3,0,MAX(0,ROUND(((Table12716313749617385[[#This Row],[run2 times]]-$T$3)/$T$3)*$S$6,2))))</f>
        <v>162.01</v>
      </c>
      <c r="P20" s="2">
        <f>IF(OR(Table12716313749617385[[#This Row],[run 1 times]]="",Table12716313749617385[[#This Row],[run2 times]]=""),"",Table12716313749617385[[#This Row],[run 1 times]]+Table12716313749617385[[#This Row],[run2 times]])</f>
        <v>1.3343750000000001E-3</v>
      </c>
      <c r="Q20" s="3">
        <f>IF(Table12716313749617385[[#This Row],[total time]]="",999.99,IF(Table12716313749617385[[#This Row],[total time]]=$U$3,0,MAX(0,ROUND(((Table12716313749617385[[#This Row],[total time]]-$U$3)/$U$3)*$S$6,2))))</f>
        <v>156.19</v>
      </c>
      <c r="W20">
        <v>20</v>
      </c>
      <c r="X20">
        <v>94</v>
      </c>
      <c r="Y20" t="s">
        <v>24</v>
      </c>
      <c r="Z20" t="s">
        <v>552</v>
      </c>
      <c r="AA20" t="s">
        <v>848</v>
      </c>
      <c r="AB20">
        <v>2009</v>
      </c>
      <c r="AC20">
        <v>50.35</v>
      </c>
      <c r="AD20">
        <v>52.24</v>
      </c>
      <c r="AE20" s="5">
        <v>1.1873842592592593E-3</v>
      </c>
      <c r="AG20">
        <v>93748</v>
      </c>
      <c r="AH20" s="2">
        <f>_xlfn.LET(_xlpm.x,Table12211019344052647688[[#This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5.8275462962962968E-4</v>
      </c>
      <c r="AI20" s="3">
        <f>IF(Table12211019344052647688[[#This Row],[run 1 times]]="",999.99,IF(Table12211019344052647688[[#This Row],[run 1 times]]=$AO$3,0,MAX(0,ROUND(((Table12211019344052647688[[#This Row],[run 1 times]]-$AO$3)/$AO$3)*$AO$6,2))))</f>
        <v>33.04</v>
      </c>
      <c r="AJ20" s="2">
        <f>_xlfn.LET(_xlpm.x,Table12211019344052647688[[#This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6.0462962962962966E-4</v>
      </c>
      <c r="AK20" s="3">
        <f>IF(Table12211019344052647688[[#This Row],[run2 times]]="",999.99,IF(Table12211019344052647688[[#This Row],[run2 times]]=$AP$3,0,MAX(0,ROUND(((Table12211019344052647688[[#This Row],[run2 times]]-$AP$3)/$AP$3)*$AO$6,2))))</f>
        <v>43.53</v>
      </c>
      <c r="AL20" s="2">
        <f>IF(OR(Table12211019344052647688[[#This Row],[run 1 times]]="",Table12211019344052647688[[#This Row],[run2 times]]=""),"",Table12211019344052647688[[#This Row],[run 1 times]]+Table12211019344052647688[[#This Row],[run2 times]])</f>
        <v>1.1873842592592593E-3</v>
      </c>
      <c r="AM20" s="3">
        <f>IF(Table12211019344052647688[[#This Row],[total time]]="",999.99,IF(Table12211019344052647688[[#This Row],[total time]]=$AQ$3,0,MAX(0,ROUND(((Table12211019344052647688[[#This Row],[total time]]-$AQ$3)/$AQ$3)*$AO$6,2))))</f>
        <v>28.08</v>
      </c>
    </row>
    <row r="21" spans="1:39" x14ac:dyDescent="0.3">
      <c r="A21">
        <v>10</v>
      </c>
      <c r="B21">
        <v>43</v>
      </c>
      <c r="C21" t="s">
        <v>373</v>
      </c>
      <c r="D21" t="s">
        <v>522</v>
      </c>
      <c r="E21" t="s">
        <v>684</v>
      </c>
      <c r="F21">
        <v>2013</v>
      </c>
      <c r="G21" s="5">
        <v>7.0648148148148144E-4</v>
      </c>
      <c r="H21" s="5">
        <v>7.612268518518518E-4</v>
      </c>
      <c r="I21" s="5">
        <v>1.4677083333333335E-3</v>
      </c>
      <c r="K21">
        <v>106162</v>
      </c>
      <c r="L21" s="2">
        <f>_xlfn.LET(_xlpm.x,Table12716313749617385[[#This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7.0648148148148144E-4</v>
      </c>
      <c r="M21" s="3">
        <f>IF(Table12716313749617385[[#This Row],[run 1 times]]="",999.99,IF(Table12716313749617385[[#This Row],[run 1 times]]=$S$3,0,MAX(0,ROUND(((Table12716313749617385[[#This Row],[run 1 times]]-$S$3)/$S$3)*$S$6,2))))</f>
        <v>264.18</v>
      </c>
      <c r="N21" s="2">
        <f>_xlfn.LET(_xlpm.x,Table12716313749617385[[#This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7.612268518518518E-4</v>
      </c>
      <c r="O21" s="3">
        <f>IF(Table12716313749617385[[#This Row],[run2 times]]="",999.99,IF(Table12716313749617385[[#This Row],[run2 times]]=$T$3,0,MAX(0,ROUND(((Table12716313749617385[[#This Row],[run2 times]]-$T$3)/$T$3)*$S$6,2))))</f>
        <v>227.37</v>
      </c>
      <c r="P21" s="2">
        <f>IF(OR(Table12716313749617385[[#This Row],[run 1 times]]="",Table12716313749617385[[#This Row],[run2 times]]=""),"",Table12716313749617385[[#This Row],[run 1 times]]+Table12716313749617385[[#This Row],[run2 times]])</f>
        <v>1.4677083333333332E-3</v>
      </c>
      <c r="Q21" s="3">
        <f>IF(Table12716313749617385[[#This Row],[total time]]="",999.99,IF(Table12716313749617385[[#This Row],[total time]]=$U$3,0,MAX(0,ROUND(((Table12716313749617385[[#This Row],[total time]]-$U$3)/$U$3)*$S$6,2))))</f>
        <v>244.74</v>
      </c>
      <c r="W21">
        <v>5</v>
      </c>
      <c r="X21">
        <v>79</v>
      </c>
      <c r="Y21" t="s">
        <v>223</v>
      </c>
      <c r="Z21" t="s">
        <v>552</v>
      </c>
      <c r="AA21" t="s">
        <v>757</v>
      </c>
      <c r="AB21">
        <v>2007</v>
      </c>
      <c r="AC21">
        <v>54.25</v>
      </c>
      <c r="AD21">
        <v>58.96</v>
      </c>
      <c r="AE21" s="5">
        <v>1.3103009259259259E-3</v>
      </c>
      <c r="AG21">
        <v>126692</v>
      </c>
      <c r="AH21" s="2">
        <f>_xlfn.LET(_xlpm.x,Table12211019344052647688[[#This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6.2789351851851851E-4</v>
      </c>
      <c r="AI21" s="3">
        <f>IF(Table12211019344052647688[[#This Row],[run 1 times]]="",999.99,IF(Table12211019344052647688[[#This Row],[run 1 times]]=$AO$3,0,MAX(0,ROUND(((Table12211019344052647688[[#This Row],[run 1 times]]-$AO$3)/$AO$3)*$AO$6,2))))</f>
        <v>92.14</v>
      </c>
      <c r="AJ21" s="2">
        <f>_xlfn.LET(_xlpm.x,Table12211019344052647688[[#This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6.824074074074074E-4</v>
      </c>
      <c r="AK21" s="3">
        <f>IF(Table12211019344052647688[[#This Row],[run2 times]]="",999.99,IF(Table12211019344052647688[[#This Row],[run2 times]]=$AP$3,0,MAX(0,ROUND(((Table12211019344052647688[[#This Row],[run2 times]]-$AP$3)/$AP$3)*$AO$6,2))))</f>
        <v>143.04</v>
      </c>
      <c r="AL21" s="2">
        <f>IF(OR(Table12211019344052647688[[#This Row],[run 1 times]]="",Table12211019344052647688[[#This Row],[run2 times]]=""),"",Table12211019344052647688[[#This Row],[run 1 times]]+Table12211019344052647688[[#This Row],[run2 times]])</f>
        <v>1.3103009259259259E-3</v>
      </c>
      <c r="AM21" s="3">
        <f>IF(Table12211019344052647688[[#This Row],[total time]]="",999.99,IF(Table12211019344052647688[[#This Row],[total time]]=$AQ$3,0,MAX(0,ROUND(((Table12211019344052647688[[#This Row],[total time]]-$AQ$3)/$AQ$3)*$AO$6,2))))</f>
        <v>106.56</v>
      </c>
    </row>
    <row r="22" spans="1:39" x14ac:dyDescent="0.3">
      <c r="A22">
        <v>21</v>
      </c>
      <c r="B22">
        <v>54</v>
      </c>
      <c r="C22" t="s">
        <v>257</v>
      </c>
      <c r="D22" t="s">
        <v>522</v>
      </c>
      <c r="E22" t="s">
        <v>675</v>
      </c>
      <c r="F22">
        <v>2013</v>
      </c>
      <c r="G22" t="s">
        <v>512</v>
      </c>
      <c r="H22">
        <v>54.88</v>
      </c>
      <c r="K22">
        <v>117684</v>
      </c>
      <c r="L22" s="2" t="str">
        <f>_xlfn.LET(_xlpm.x,Table12716313749617385[[#This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M22" s="3">
        <f>IF(Table12716313749617385[[#This Row],[run 1 times]]="",999.99,IF(Table12716313749617385[[#This Row],[run 1 times]]=$S$3,0,MAX(0,ROUND(((Table12716313749617385[[#This Row],[run 1 times]]-$S$3)/$S$3)*$S$6,2))))</f>
        <v>999.99</v>
      </c>
      <c r="N22" s="2">
        <f>_xlfn.LET(_xlpm.x,Table12716313749617385[[#This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6.3518518518518524E-4</v>
      </c>
      <c r="O22" s="3">
        <f>IF(Table12716313749617385[[#This Row],[run2 times]]="",999.99,IF(Table12716313749617385[[#This Row],[run2 times]]=$T$3,0,MAX(0,ROUND(((Table12716313749617385[[#This Row],[run2 times]]-$T$3)/$T$3)*$S$6,2))))</f>
        <v>68.849999999999994</v>
      </c>
      <c r="P22" s="2" t="str">
        <f>IF(OR(Table12716313749617385[[#This Row],[run 1 times]]="",Table12716313749617385[[#This Row],[run2 times]]=""),"",Table12716313749617385[[#This Row],[run 1 times]]+Table12716313749617385[[#This Row],[run2 times]])</f>
        <v/>
      </c>
      <c r="Q22" s="3">
        <f>IF(Table12716313749617385[[#This Row],[total time]]="",999.99,IF(Table12716313749617385[[#This Row],[total time]]=$U$3,0,MAX(0,ROUND(((Table12716313749617385[[#This Row],[total time]]-$U$3)/$U$3)*$S$6,2))))</f>
        <v>999.99</v>
      </c>
      <c r="W22">
        <v>14</v>
      </c>
      <c r="X22">
        <v>88</v>
      </c>
      <c r="Y22" t="s">
        <v>24</v>
      </c>
      <c r="Z22" t="s">
        <v>552</v>
      </c>
      <c r="AA22" t="s">
        <v>761</v>
      </c>
      <c r="AB22">
        <v>2009</v>
      </c>
      <c r="AC22" t="s">
        <v>512</v>
      </c>
      <c r="AD22">
        <v>49.3</v>
      </c>
      <c r="AG22">
        <v>84474</v>
      </c>
      <c r="AH22" s="2" t="str">
        <f>_xlfn.LET(_xlpm.x,Table12211019344052647688[[#This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22" s="3">
        <f>IF(Table12211019344052647688[[#This Row],[run 1 times]]="",999.99,IF(Table12211019344052647688[[#This Row],[run 1 times]]=$AO$3,0,MAX(0,ROUND(((Table12211019344052647688[[#This Row],[run 1 times]]-$AO$3)/$AO$3)*$AO$6,2))))</f>
        <v>999.99</v>
      </c>
      <c r="AJ22" s="2">
        <f>_xlfn.LET(_xlpm.x,Table12211019344052647688[[#This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5.7060185185185187E-4</v>
      </c>
      <c r="AK22" s="3">
        <f>IF(Table12211019344052647688[[#This Row],[run2 times]]="",999.99,IF(Table12211019344052647688[[#This Row],[run2 times]]=$AP$3,0,MAX(0,ROUND(((Table12211019344052647688[[#This Row],[run2 times]]-$AP$3)/$AP$3)*$AO$6,2))))</f>
        <v>0</v>
      </c>
      <c r="AL22" s="2" t="str">
        <f>IF(OR(Table12211019344052647688[[#This Row],[run 1 times]]="",Table12211019344052647688[[#This Row],[run2 times]]=""),"",Table12211019344052647688[[#This Row],[run 1 times]]+Table12211019344052647688[[#This Row],[run2 times]])</f>
        <v/>
      </c>
      <c r="AM22" s="3">
        <f>IF(Table12211019344052647688[[#This Row],[total time]]="",999.99,IF(Table12211019344052647688[[#This Row],[total time]]=$AQ$3,0,MAX(0,ROUND(((Table12211019344052647688[[#This Row],[total time]]-$AQ$3)/$AQ$3)*$AO$6,2))))</f>
        <v>999.99</v>
      </c>
    </row>
    <row r="23" spans="1:39" x14ac:dyDescent="0.3">
      <c r="A23">
        <v>6</v>
      </c>
      <c r="B23">
        <v>39</v>
      </c>
      <c r="C23" t="s">
        <v>257</v>
      </c>
      <c r="D23" t="s">
        <v>522</v>
      </c>
      <c r="E23" t="s">
        <v>698</v>
      </c>
      <c r="F23">
        <v>2012</v>
      </c>
      <c r="G23">
        <v>48.61</v>
      </c>
      <c r="H23" t="s">
        <v>512</v>
      </c>
      <c r="K23">
        <v>102726</v>
      </c>
      <c r="L23" s="2">
        <f>_xlfn.LET(_xlpm.x,Table12716313749617385[[#This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5.626157407407407E-4</v>
      </c>
      <c r="M23" s="3">
        <f>IF(Table12716313749617385[[#This Row],[run 1 times]]="",999.99,IF(Table12716313749617385[[#This Row],[run 1 times]]=$S$3,0,MAX(0,ROUND(((Table12716313749617385[[#This Row],[run 1 times]]-$S$3)/$S$3)*$S$6,2))))</f>
        <v>61.73</v>
      </c>
      <c r="N23" s="2" t="str">
        <f>_xlfn.LET(_xlpm.x,Table12716313749617385[[#This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O23" s="3">
        <f>IF(Table12716313749617385[[#This Row],[run2 times]]="",999.99,IF(Table12716313749617385[[#This Row],[run2 times]]=$T$3,0,MAX(0,ROUND(((Table12716313749617385[[#This Row],[run2 times]]-$T$3)/$T$3)*$S$6,2))))</f>
        <v>999.99</v>
      </c>
      <c r="P23" s="2" t="str">
        <f>IF(OR(Table12716313749617385[[#This Row],[run 1 times]]="",Table12716313749617385[[#This Row],[run2 times]]=""),"",Table12716313749617385[[#This Row],[run 1 times]]+Table12716313749617385[[#This Row],[run2 times]])</f>
        <v/>
      </c>
      <c r="Q23" s="3">
        <f>IF(Table12716313749617385[[#This Row],[total time]]="",999.99,IF(Table12716313749617385[[#This Row],[total time]]=$U$3,0,MAX(0,ROUND(((Table12716313749617385[[#This Row],[total time]]-$U$3)/$U$3)*$S$6,2))))</f>
        <v>999.99</v>
      </c>
      <c r="W23">
        <v>11</v>
      </c>
      <c r="X23">
        <v>85</v>
      </c>
      <c r="Y23" t="s">
        <v>257</v>
      </c>
      <c r="Z23" t="s">
        <v>552</v>
      </c>
      <c r="AA23" t="s">
        <v>846</v>
      </c>
      <c r="AB23">
        <v>2009</v>
      </c>
      <c r="AC23" t="s">
        <v>512</v>
      </c>
      <c r="AD23" t="s">
        <v>512</v>
      </c>
      <c r="AG23">
        <v>108195</v>
      </c>
      <c r="AH23" s="2" t="str">
        <f>_xlfn.LET(_xlpm.x,Table12211019344052647688[[#This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23" s="3">
        <f>IF(Table12211019344052647688[[#This Row],[run 1 times]]="",999.99,IF(Table12211019344052647688[[#This Row],[run 1 times]]=$AO$3,0,MAX(0,ROUND(((Table12211019344052647688[[#This Row],[run 1 times]]-$AO$3)/$AO$3)*$AO$6,2))))</f>
        <v>999.99</v>
      </c>
      <c r="AJ23" s="2" t="str">
        <f>_xlfn.LET(_xlpm.x,Table12211019344052647688[[#This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23" s="3">
        <f>IF(Table12211019344052647688[[#This Row],[run2 times]]="",999.99,IF(Table12211019344052647688[[#This Row],[run2 times]]=$AP$3,0,MAX(0,ROUND(((Table12211019344052647688[[#This Row],[run2 times]]-$AP$3)/$AP$3)*$AO$6,2))))</f>
        <v>999.99</v>
      </c>
      <c r="AL23" s="2" t="str">
        <f>IF(OR(Table12211019344052647688[[#This Row],[run 1 times]]="",Table12211019344052647688[[#This Row],[run2 times]]=""),"",Table12211019344052647688[[#This Row],[run 1 times]]+Table12211019344052647688[[#This Row],[run2 times]])</f>
        <v/>
      </c>
      <c r="AM23" s="3">
        <f>IF(Table12211019344052647688[[#This Row],[total time]]="",999.99,IF(Table12211019344052647688[[#This Row],[total time]]=$AQ$3,0,MAX(0,ROUND(((Table12211019344052647688[[#This Row],[total time]]-$AQ$3)/$AQ$3)*$AO$6,2))))</f>
        <v>999.99</v>
      </c>
    </row>
    <row r="24" spans="1:39" x14ac:dyDescent="0.3">
      <c r="W24">
        <v>10</v>
      </c>
      <c r="X24">
        <v>84</v>
      </c>
      <c r="Y24" t="s">
        <v>24</v>
      </c>
      <c r="Z24" t="s">
        <v>552</v>
      </c>
      <c r="AA24" t="s">
        <v>749</v>
      </c>
      <c r="AB24">
        <v>2009</v>
      </c>
      <c r="AC24" t="s">
        <v>512</v>
      </c>
      <c r="AD24">
        <v>55.62</v>
      </c>
      <c r="AG24">
        <v>104657</v>
      </c>
      <c r="AH24" s="2" t="str">
        <f>_xlfn.LET(_xlpm.x,Table12211019344052647688[[#This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24" s="3">
        <f>IF(Table12211019344052647688[[#This Row],[run 1 times]]="",999.99,IF(Table12211019344052647688[[#This Row],[run 1 times]]=$AO$3,0,MAX(0,ROUND(((Table12211019344052647688[[#This Row],[run 1 times]]-$AO$3)/$AO$3)*$AO$6,2))))</f>
        <v>999.99</v>
      </c>
      <c r="AJ24" s="2">
        <f>_xlfn.LET(_xlpm.x,Table12211019344052647688[[#This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6.4375000000000001E-4</v>
      </c>
      <c r="AK24" s="3">
        <f>IF(Table12211019344052647688[[#This Row],[run2 times]]="",999.99,IF(Table12211019344052647688[[#This Row],[run2 times]]=$AP$3,0,MAX(0,ROUND(((Table12211019344052647688[[#This Row],[run2 times]]-$AP$3)/$AP$3)*$AO$6,2))))</f>
        <v>93.58</v>
      </c>
      <c r="AL24" s="2" t="str">
        <f>IF(OR(Table12211019344052647688[[#This Row],[run 1 times]]="",Table12211019344052647688[[#This Row],[run2 times]]=""),"",Table12211019344052647688[[#This Row],[run 1 times]]+Table12211019344052647688[[#This Row],[run2 times]])</f>
        <v/>
      </c>
      <c r="AM24" s="3">
        <f>IF(Table12211019344052647688[[#This Row],[total time]]="",999.99,IF(Table12211019344052647688[[#This Row],[total time]]=$AQ$3,0,MAX(0,ROUND(((Table12211019344052647688[[#This Row],[total time]]-$AQ$3)/$AQ$3)*$AO$6,2))))</f>
        <v>999.99</v>
      </c>
    </row>
    <row r="25" spans="1:39" x14ac:dyDescent="0.3">
      <c r="W25">
        <v>19</v>
      </c>
      <c r="X25">
        <v>93</v>
      </c>
      <c r="Y25" t="s">
        <v>373</v>
      </c>
      <c r="Z25" t="s">
        <v>552</v>
      </c>
      <c r="AA25" t="s">
        <v>748</v>
      </c>
      <c r="AB25">
        <v>2008</v>
      </c>
      <c r="AC25" t="s">
        <v>518</v>
      </c>
      <c r="AD25">
        <v>57.65</v>
      </c>
      <c r="AG25">
        <v>127962</v>
      </c>
      <c r="AH25" s="2" t="str">
        <f>_xlfn.LET(_xlpm.x,Table12211019344052647688[[#This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I25" s="3">
        <f>IF(Table12211019344052647688[[#This Row],[run 1 times]]="",999.99,IF(Table12211019344052647688[[#This Row],[run 1 times]]=$AO$3,0,MAX(0,ROUND(((Table12211019344052647688[[#This Row],[run 1 times]]-$AO$3)/$AO$3)*$AO$6,2))))</f>
        <v>999.99</v>
      </c>
      <c r="AJ25" s="2">
        <f>_xlfn.LET(_xlpm.x,Table12211019344052647688[[#This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>6.6724537037037034E-4</v>
      </c>
      <c r="AK25" s="3">
        <f>IF(Table12211019344052647688[[#This Row],[run2 times]]="",999.99,IF(Table12211019344052647688[[#This Row],[run2 times]]=$AP$3,0,MAX(0,ROUND(((Table12211019344052647688[[#This Row],[run2 times]]-$AP$3)/$AP$3)*$AO$6,2))))</f>
        <v>123.64</v>
      </c>
      <c r="AL25" s="2" t="str">
        <f>IF(OR(Table12211019344052647688[[#This Row],[run 1 times]]="",Table12211019344052647688[[#This Row],[run2 times]]=""),"",Table12211019344052647688[[#This Row],[run 1 times]]+Table12211019344052647688[[#This Row],[run2 times]])</f>
        <v/>
      </c>
      <c r="AM25" s="3">
        <f>IF(Table12211019344052647688[[#This Row],[total time]]="",999.99,IF(Table12211019344052647688[[#This Row],[total time]]=$AQ$3,0,MAX(0,ROUND(((Table12211019344052647688[[#This Row],[total time]]-$AQ$3)/$AQ$3)*$AO$6,2))))</f>
        <v>999.99</v>
      </c>
    </row>
    <row r="26" spans="1:39" x14ac:dyDescent="0.3">
      <c r="W26">
        <v>12</v>
      </c>
      <c r="X26">
        <v>86</v>
      </c>
      <c r="Y26" t="s">
        <v>223</v>
      </c>
      <c r="Z26" t="s">
        <v>552</v>
      </c>
      <c r="AA26" t="s">
        <v>756</v>
      </c>
      <c r="AB26">
        <v>2008</v>
      </c>
      <c r="AC26">
        <v>49.4</v>
      </c>
      <c r="AD26" t="s">
        <v>512</v>
      </c>
      <c r="AG26">
        <v>87549</v>
      </c>
      <c r="AH26" s="2">
        <f>_xlfn.LET(_xlpm.x,Table12211019344052647688[[#This Row],[First Run Result]],IF(OR(_xlpm.x="DNS",_xlpm.x="DNF",_xlpm.x="DSQ"),"",IF(ISNUMBER(_xlpm.x),IF(_xlpm.x&lt;1, _xlpm.x, _xlpm.x/86400),( VALUE(LEFT(_xlpm.x,FIND(":",_xlpm.x)-1))*60+VALUE(SUBSTITUTE(MID(_xlpm.x,FIND(":",_xlpm.x)+1,99),",",".")))/86400)))</f>
        <v>5.7175925925925927E-4</v>
      </c>
      <c r="AI26" s="3">
        <f>IF(Table12211019344052647688[[#This Row],[run 1 times]]="",999.99,IF(Table12211019344052647688[[#This Row],[run 1 times]]=$AO$3,0,MAX(0,ROUND(((Table12211019344052647688[[#This Row],[run 1 times]]-$AO$3)/$AO$3)*$AO$6,2))))</f>
        <v>18.64</v>
      </c>
      <c r="AJ26" s="2" t="str">
        <f>_xlfn.LET(_xlpm.x,Table12211019344052647688[[#This Row],[Second Run Result]],IF(OR(_xlpm.x="DNS",_xlpm.x="DNF",_xlpm.x="DSQ"),"",IF(ISNUMBER(_xlpm.x),IF(_xlpm.x&lt;1, _xlpm.x, _xlpm.x/86400),( VALUE(LEFT(_xlpm.x,FIND(":",_xlpm.x)-1))*60+VALUE(SUBSTITUTE(MID(_xlpm.x,FIND(":",_xlpm.x)+1,99),",",".")))/86400)))</f>
        <v/>
      </c>
      <c r="AK26" s="3">
        <f>IF(Table12211019344052647688[[#This Row],[run2 times]]="",999.99,IF(Table12211019344052647688[[#This Row],[run2 times]]=$AP$3,0,MAX(0,ROUND(((Table12211019344052647688[[#This Row],[run2 times]]-$AP$3)/$AP$3)*$AO$6,2))))</f>
        <v>999.99</v>
      </c>
      <c r="AL26" s="2" t="str">
        <f>IF(OR(Table12211019344052647688[[#This Row],[run 1 times]]="",Table12211019344052647688[[#This Row],[run2 times]]=""),"",Table12211019344052647688[[#This Row],[run 1 times]]+Table12211019344052647688[[#This Row],[run2 times]])</f>
        <v/>
      </c>
      <c r="AM26" s="3">
        <f>IF(Table12211019344052647688[[#This Row],[total time]]="",999.99,IF(Table12211019344052647688[[#This Row],[total time]]=$AQ$3,0,MAX(0,ROUND(((Table12211019344052647688[[#This Row],[total time]]-$AQ$3)/$AQ$3)*$AO$6,2))))</f>
        <v>999.99</v>
      </c>
    </row>
  </sheetData>
  <mergeCells count="2">
    <mergeCell ref="A1:U1"/>
    <mergeCell ref="W1:AQ1"/>
  </mergeCells>
  <pageMargins left="0.7" right="0.7" top="0.75" bottom="0.75" header="0.3" footer="0.3"/>
  <tableParts count="6">
    <tablePart r:id="rId1"/>
    <tablePart r:id="rId2"/>
    <tablePart r:id="rId3"/>
    <tablePart r:id="rId4"/>
    <tablePart r:id="rId5"/>
    <tablePart r:id="rId6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6E5116-1D84-47BD-9D8F-F1AF333C37F5}">
  <dimension ref="A1:B31"/>
  <sheetViews>
    <sheetView workbookViewId="0">
      <selection activeCell="G33" sqref="G33"/>
    </sheetView>
  </sheetViews>
  <sheetFormatPr defaultRowHeight="14.4" x14ac:dyDescent="0.3"/>
  <sheetData>
    <row r="1" spans="1:2" x14ac:dyDescent="0.3">
      <c r="A1" t="s">
        <v>365</v>
      </c>
      <c r="B1" t="s">
        <v>366</v>
      </c>
    </row>
    <row r="2" spans="1:2" x14ac:dyDescent="0.3">
      <c r="A2">
        <v>1</v>
      </c>
      <c r="B2">
        <v>100</v>
      </c>
    </row>
    <row r="3" spans="1:2" x14ac:dyDescent="0.3">
      <c r="A3">
        <v>2</v>
      </c>
      <c r="B3">
        <v>80</v>
      </c>
    </row>
    <row r="4" spans="1:2" x14ac:dyDescent="0.3">
      <c r="A4">
        <v>3</v>
      </c>
      <c r="B4">
        <v>60</v>
      </c>
    </row>
    <row r="5" spans="1:2" x14ac:dyDescent="0.3">
      <c r="A5">
        <v>4</v>
      </c>
      <c r="B5">
        <v>50</v>
      </c>
    </row>
    <row r="6" spans="1:2" x14ac:dyDescent="0.3">
      <c r="A6">
        <v>5</v>
      </c>
      <c r="B6">
        <v>45</v>
      </c>
    </row>
    <row r="7" spans="1:2" x14ac:dyDescent="0.3">
      <c r="A7">
        <v>6</v>
      </c>
      <c r="B7">
        <v>40</v>
      </c>
    </row>
    <row r="8" spans="1:2" x14ac:dyDescent="0.3">
      <c r="A8">
        <v>7</v>
      </c>
      <c r="B8">
        <v>36</v>
      </c>
    </row>
    <row r="9" spans="1:2" x14ac:dyDescent="0.3">
      <c r="A9">
        <v>8</v>
      </c>
      <c r="B9">
        <v>32</v>
      </c>
    </row>
    <row r="10" spans="1:2" x14ac:dyDescent="0.3">
      <c r="A10">
        <v>9</v>
      </c>
      <c r="B10">
        <v>29</v>
      </c>
    </row>
    <row r="11" spans="1:2" x14ac:dyDescent="0.3">
      <c r="A11">
        <v>10</v>
      </c>
      <c r="B11">
        <v>26</v>
      </c>
    </row>
    <row r="12" spans="1:2" x14ac:dyDescent="0.3">
      <c r="A12">
        <v>11</v>
      </c>
      <c r="B12">
        <v>24</v>
      </c>
    </row>
    <row r="13" spans="1:2" x14ac:dyDescent="0.3">
      <c r="A13">
        <v>12</v>
      </c>
      <c r="B13">
        <v>22</v>
      </c>
    </row>
    <row r="14" spans="1:2" x14ac:dyDescent="0.3">
      <c r="A14">
        <v>13</v>
      </c>
      <c r="B14">
        <v>20</v>
      </c>
    </row>
    <row r="15" spans="1:2" x14ac:dyDescent="0.3">
      <c r="A15">
        <v>14</v>
      </c>
      <c r="B15">
        <v>18</v>
      </c>
    </row>
    <row r="16" spans="1:2" x14ac:dyDescent="0.3">
      <c r="A16">
        <v>15</v>
      </c>
      <c r="B16">
        <v>16</v>
      </c>
    </row>
    <row r="17" spans="1:2" x14ac:dyDescent="0.3">
      <c r="A17">
        <v>16</v>
      </c>
      <c r="B17">
        <v>15</v>
      </c>
    </row>
    <row r="18" spans="1:2" x14ac:dyDescent="0.3">
      <c r="A18">
        <v>17</v>
      </c>
      <c r="B18">
        <v>14</v>
      </c>
    </row>
    <row r="19" spans="1:2" x14ac:dyDescent="0.3">
      <c r="A19">
        <v>18</v>
      </c>
      <c r="B19">
        <v>13</v>
      </c>
    </row>
    <row r="20" spans="1:2" x14ac:dyDescent="0.3">
      <c r="A20">
        <v>19</v>
      </c>
      <c r="B20">
        <v>12</v>
      </c>
    </row>
    <row r="21" spans="1:2" x14ac:dyDescent="0.3">
      <c r="A21">
        <v>20</v>
      </c>
      <c r="B21">
        <v>11</v>
      </c>
    </row>
    <row r="22" spans="1:2" x14ac:dyDescent="0.3">
      <c r="A22">
        <v>21</v>
      </c>
      <c r="B22">
        <v>10</v>
      </c>
    </row>
    <row r="23" spans="1:2" x14ac:dyDescent="0.3">
      <c r="A23">
        <v>22</v>
      </c>
      <c r="B23">
        <v>9</v>
      </c>
    </row>
    <row r="24" spans="1:2" x14ac:dyDescent="0.3">
      <c r="A24">
        <v>23</v>
      </c>
      <c r="B24">
        <v>8</v>
      </c>
    </row>
    <row r="25" spans="1:2" x14ac:dyDescent="0.3">
      <c r="A25">
        <v>24</v>
      </c>
      <c r="B25">
        <v>7</v>
      </c>
    </row>
    <row r="26" spans="1:2" x14ac:dyDescent="0.3">
      <c r="A26">
        <v>25</v>
      </c>
      <c r="B26">
        <v>6</v>
      </c>
    </row>
    <row r="27" spans="1:2" x14ac:dyDescent="0.3">
      <c r="A27">
        <v>26</v>
      </c>
      <c r="B27">
        <v>5</v>
      </c>
    </row>
    <row r="28" spans="1:2" x14ac:dyDescent="0.3">
      <c r="A28">
        <v>27</v>
      </c>
      <c r="B28">
        <v>4</v>
      </c>
    </row>
    <row r="29" spans="1:2" x14ac:dyDescent="0.3">
      <c r="A29">
        <v>28</v>
      </c>
      <c r="B29">
        <v>3</v>
      </c>
    </row>
    <row r="30" spans="1:2" x14ac:dyDescent="0.3">
      <c r="A30">
        <v>29</v>
      </c>
      <c r="B30">
        <v>2</v>
      </c>
    </row>
    <row r="31" spans="1:2" x14ac:dyDescent="0.3">
      <c r="A31">
        <v>30</v>
      </c>
      <c r="B31">
        <v>1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4F6597-68ED-4F72-9485-C46D5F6FC77A}">
  <dimension ref="A1:AY20"/>
  <sheetViews>
    <sheetView topLeftCell="AB1" workbookViewId="0">
      <selection activeCell="J25" sqref="J25"/>
    </sheetView>
  </sheetViews>
  <sheetFormatPr defaultRowHeight="14.4" x14ac:dyDescent="0.3"/>
  <cols>
    <col min="1" max="1" width="13.44140625" customWidth="1"/>
    <col min="3" max="3" width="10.21875" customWidth="1"/>
    <col min="4" max="7" width="10.44140625" customWidth="1"/>
    <col min="8" max="8" width="13.33203125" bestFit="1" customWidth="1"/>
    <col min="9" max="9" width="10.33203125" customWidth="1"/>
    <col min="10" max="10" width="17.21875" customWidth="1"/>
    <col min="12" max="12" width="13.21875" customWidth="1"/>
    <col min="14" max="14" width="10" customWidth="1"/>
    <col min="15" max="18" width="10.5546875" customWidth="1"/>
    <col min="19" max="20" width="10.33203125" customWidth="1"/>
    <col min="21" max="21" width="11.21875" customWidth="1"/>
    <col min="23" max="23" width="13.21875" customWidth="1"/>
    <col min="25" max="25" width="10" customWidth="1"/>
    <col min="26" max="26" width="11.33203125" bestFit="1" customWidth="1"/>
    <col min="29" max="29" width="11.33203125" customWidth="1"/>
    <col min="30" max="30" width="15.109375" customWidth="1"/>
    <col min="32" max="32" width="13.21875" customWidth="1"/>
    <col min="34" max="34" width="10" customWidth="1"/>
    <col min="37" max="37" width="15" bestFit="1" customWidth="1"/>
    <col min="38" max="38" width="11.33203125" customWidth="1"/>
    <col min="39" max="39" width="15.109375" customWidth="1"/>
    <col min="41" max="41" width="13.21875" customWidth="1"/>
    <col min="42" max="42" width="15.6640625" bestFit="1" customWidth="1"/>
    <col min="43" max="43" width="10" customWidth="1"/>
    <col min="44" max="44" width="9.109375" customWidth="1"/>
    <col min="45" max="45" width="10" customWidth="1"/>
    <col min="46" max="46" width="12.6640625" customWidth="1"/>
    <col min="47" max="47" width="16" customWidth="1"/>
    <col min="48" max="48" width="13.109375" customWidth="1"/>
    <col min="49" max="49" width="16.44140625" customWidth="1"/>
    <col min="50" max="50" width="10.109375" customWidth="1"/>
    <col min="51" max="51" width="12.109375" customWidth="1"/>
  </cols>
  <sheetData>
    <row r="1" spans="1:51" ht="21" x14ac:dyDescent="0.4">
      <c r="A1" s="4"/>
      <c r="B1" s="4"/>
      <c r="C1" s="4"/>
      <c r="D1" s="7" t="s">
        <v>450</v>
      </c>
      <c r="E1" s="7"/>
      <c r="F1" s="7"/>
      <c r="G1" s="7"/>
      <c r="H1" s="7"/>
      <c r="I1" s="7"/>
      <c r="J1" s="7"/>
      <c r="K1" s="4"/>
      <c r="L1" s="4"/>
      <c r="M1" s="4"/>
      <c r="N1" s="4"/>
      <c r="O1" s="7" t="s">
        <v>451</v>
      </c>
      <c r="P1" s="7"/>
      <c r="Q1" s="7"/>
      <c r="R1" s="7"/>
      <c r="S1" s="7"/>
      <c r="T1" s="7"/>
      <c r="U1" s="7"/>
      <c r="V1" s="4"/>
      <c r="W1" s="4"/>
      <c r="X1" s="4"/>
      <c r="Y1" s="4"/>
      <c r="Z1" s="7" t="s">
        <v>453</v>
      </c>
      <c r="AA1" s="7"/>
      <c r="AB1" s="7"/>
      <c r="AC1" s="7"/>
      <c r="AD1" s="7"/>
      <c r="AE1" s="4"/>
      <c r="AF1" s="4"/>
      <c r="AG1" s="4"/>
      <c r="AH1" s="4"/>
      <c r="AI1" s="7" t="s">
        <v>458</v>
      </c>
      <c r="AJ1" s="7"/>
      <c r="AK1" s="7"/>
      <c r="AL1" s="7"/>
      <c r="AM1" s="7"/>
      <c r="AN1" s="4"/>
      <c r="AO1" s="4"/>
      <c r="AP1" s="4"/>
      <c r="AQ1" s="4"/>
      <c r="AR1" s="7" t="s">
        <v>603</v>
      </c>
      <c r="AS1" s="7"/>
      <c r="AT1" s="7"/>
      <c r="AU1" s="7"/>
      <c r="AV1" s="7"/>
      <c r="AW1" s="7"/>
      <c r="AX1" s="7"/>
      <c r="AY1" s="7"/>
    </row>
    <row r="2" spans="1:51" x14ac:dyDescent="0.3">
      <c r="A2" t="s">
        <v>367</v>
      </c>
      <c r="B2" t="s">
        <v>368</v>
      </c>
      <c r="C2" t="s">
        <v>354</v>
      </c>
      <c r="D2" t="s">
        <v>604</v>
      </c>
      <c r="E2" t="s">
        <v>605</v>
      </c>
      <c r="F2" t="s">
        <v>606</v>
      </c>
      <c r="G2" t="s">
        <v>607</v>
      </c>
      <c r="H2" t="s">
        <v>608</v>
      </c>
      <c r="I2" t="s">
        <v>609</v>
      </c>
      <c r="J2" t="s">
        <v>456</v>
      </c>
      <c r="L2" t="s">
        <v>367</v>
      </c>
      <c r="M2" t="s">
        <v>368</v>
      </c>
      <c r="N2" t="s">
        <v>354</v>
      </c>
      <c r="O2" t="s">
        <v>612</v>
      </c>
      <c r="P2" t="s">
        <v>613</v>
      </c>
      <c r="Q2" t="s">
        <v>614</v>
      </c>
      <c r="R2" t="s">
        <v>615</v>
      </c>
      <c r="S2" t="s">
        <v>616</v>
      </c>
      <c r="T2" t="s">
        <v>617</v>
      </c>
      <c r="U2" t="s">
        <v>369</v>
      </c>
      <c r="W2" t="s">
        <v>367</v>
      </c>
      <c r="X2" t="s">
        <v>368</v>
      </c>
      <c r="Y2" t="s">
        <v>354</v>
      </c>
      <c r="Z2" t="s">
        <v>618</v>
      </c>
      <c r="AA2" t="s">
        <v>619</v>
      </c>
      <c r="AB2" t="s">
        <v>620</v>
      </c>
      <c r="AC2" t="s">
        <v>454</v>
      </c>
      <c r="AD2" t="s">
        <v>455</v>
      </c>
      <c r="AF2" t="s">
        <v>367</v>
      </c>
      <c r="AG2" t="s">
        <v>368</v>
      </c>
      <c r="AH2" t="s">
        <v>354</v>
      </c>
      <c r="AI2" t="s">
        <v>621</v>
      </c>
      <c r="AJ2" t="s">
        <v>622</v>
      </c>
      <c r="AK2" t="s">
        <v>623</v>
      </c>
      <c r="AL2" t="s">
        <v>454</v>
      </c>
      <c r="AM2" t="s">
        <v>455</v>
      </c>
      <c r="AO2" t="s">
        <v>367</v>
      </c>
      <c r="AP2" t="s">
        <v>368</v>
      </c>
      <c r="AQ2" t="s">
        <v>354</v>
      </c>
      <c r="AR2" t="s">
        <v>587</v>
      </c>
      <c r="AS2" t="s">
        <v>581</v>
      </c>
      <c r="AT2" t="s">
        <v>583</v>
      </c>
      <c r="AU2" t="s">
        <v>584</v>
      </c>
      <c r="AV2" t="s">
        <v>585</v>
      </c>
      <c r="AW2" t="s">
        <v>586</v>
      </c>
      <c r="AX2" t="s">
        <v>588</v>
      </c>
      <c r="AY2" t="s">
        <v>624</v>
      </c>
    </row>
    <row r="3" spans="1:51" x14ac:dyDescent="0.3">
      <c r="A3">
        <v>108671</v>
      </c>
      <c r="B3" t="s">
        <v>790</v>
      </c>
      <c r="C3" t="s">
        <v>791</v>
      </c>
      <c r="D3">
        <f>_xlfn.XLOOKUP(Table121177[[#This Row],[ACA Number]],Table12[NAT Number],Table12[run 1 points])</f>
        <v>302.20999999999998</v>
      </c>
      <c r="E3">
        <f>_xlfn.XLOOKUP(Table121177[[#This Row],[ACA Number]],Table12[NAT Number],Table12[run 2 points])</f>
        <v>355.12</v>
      </c>
      <c r="F3">
        <f>_xlfn.XLOOKUP(Table121177[[#This Row],[ACA Number]],Table1225[NAT Number],Table1225[run 1 points])</f>
        <v>357.61</v>
      </c>
      <c r="G3">
        <f>_xlfn.XLOOKUP(Table121177[[#This Row],[ACA Number]],Table1225[NAT Number],Table1225[run 2 points])</f>
        <v>323.18</v>
      </c>
      <c r="H3">
        <f>_xlfn.XLOOKUP(Table121177[[#This Row],[ACA Number]],Table127163143556779[NAT Number],Table127163143556779[run 1 points])</f>
        <v>276.68</v>
      </c>
      <c r="I3">
        <f>_xlfn.XLOOKUP(Table121177[[#This Row],[ACA Number]],Table127163143556779[NAT Number],Table127163143556779[run 2 points])</f>
        <v>314.48</v>
      </c>
      <c r="J3" cm="1">
        <f t="array" ref="J3">_xlfn.LET(_xlpm.r,Table121177[[#This Row],[PM SL1 R1]:[MF SL1 R2]],_xlpm.m,_xlfn.AGGREGATE(15,6,_xlpm.r/(_xlpm.r&lt;&gt;999.99),1),IFERROR(_xlpm.m,999.99))</f>
        <v>276.68</v>
      </c>
      <c r="L3">
        <v>108671</v>
      </c>
      <c r="M3" t="s">
        <v>790</v>
      </c>
      <c r="N3" t="s">
        <v>791</v>
      </c>
      <c r="O3" t="e">
        <f>_xlfn.XLOOKUP(Table123179[[#This Row],[ACA Number]],Table127163143556797103[NAT Number],Table127163143556797103[run 1 points])</f>
        <v>#N/A</v>
      </c>
      <c r="P3" t="e">
        <f>_xlfn.XLOOKUP(Table123179[[#This Row],[ACA Number]],Table127163143556797103[NAT Number],Table127163143556797103[run 2 points])</f>
        <v>#N/A</v>
      </c>
      <c r="Q3" t="e">
        <f>_xlfn.XLOOKUP(Table123179[[#This Row],[ACA Number]],Table127163143556797[NAT Number],Table127163143556797[run 1 points])</f>
        <v>#N/A</v>
      </c>
      <c r="R3" t="e">
        <f>_xlfn.XLOOKUP(Table123179[[#This Row],[ACA Number]],Table127163143556797[NAT Number],Table127163143556797[run 2 points])</f>
        <v>#N/A</v>
      </c>
      <c r="S3">
        <f>_xlfn.XLOOKUP(Table123179[[#This Row],[ACA Number]],Table1271631435567[NAT Number],Table1271631435567[run 1 points])</f>
        <v>364.49</v>
      </c>
      <c r="T3">
        <f>_xlfn.XLOOKUP(Table123179[[#This Row],[ACA Number]],Table1271631435567[NAT Number],Table1271631435567[run 2 points])</f>
        <v>377.8</v>
      </c>
      <c r="U3" cm="1">
        <f t="array" ref="U3">_xlfn.LET(_xlpm.r,Table123179[[#This Row],[CM GS1 R1]:[MF GS R2]],_xlpm.m,_xlfn.AGGREGATE(15,6,_xlpm.r/(_xlpm.r&lt;&gt;999.99),1),IFERROR(_xlpm.m,999.99))</f>
        <v>364.49</v>
      </c>
      <c r="W3">
        <v>108671</v>
      </c>
      <c r="X3" t="s">
        <v>790</v>
      </c>
      <c r="Y3" t="s">
        <v>791</v>
      </c>
      <c r="Z3">
        <f>_xlfn.XLOOKUP(Table124180[[#This Row],[ACA Number]],Table12[NAT Number],Table12[TT race points])</f>
        <v>328.3</v>
      </c>
      <c r="AA3">
        <f>_xlfn.XLOOKUP(Table124180[[#This Row],[ACA Number]],Table1225[NAT Number],Table1225[TT race points])</f>
        <v>340.1</v>
      </c>
      <c r="AB3">
        <f>_xlfn.XLOOKUP(Table124180[[#This Row],[ACA Number]],Table127163143556779[NAT Number],Table127163143556779[TT race points])</f>
        <v>292.18</v>
      </c>
      <c r="AC3" cm="1">
        <f t="array" ref="AC3">_xlfn.LET(_xlpm.r,Table124180[[#This Row],[PM SL1]:[MF SL]],_xlpm.m,_xlfn.AGGREGATE(15,6,_xlpm.r/(_xlpm.r&lt;&gt;999.99),1),IFERROR(_xlpm.m,999.99))</f>
        <v>292.18</v>
      </c>
      <c r="AD3" cm="1">
        <f t="array" ref="AD3">_xlfn.LET(_xlpm.r,Table124180[[#This Row],[PM SL1]:[MF SL]],_xlpm.m,_xlfn.AGGREGATE(15,6,_xlpm.r/(_xlpm.r&lt;&gt;999.99),2),IFERROR(_xlpm.m,999.99))</f>
        <v>328.3</v>
      </c>
      <c r="AF3">
        <v>108671</v>
      </c>
      <c r="AG3" t="s">
        <v>790</v>
      </c>
      <c r="AH3" t="s">
        <v>791</v>
      </c>
      <c r="AI3" t="e">
        <f>_xlfn.XLOOKUP(Table125181[[#This Row],[ACA Number]],Table127163143556797103[NAT Number],Table127163143556797103[TT race points])</f>
        <v>#N/A</v>
      </c>
      <c r="AJ3" t="e">
        <f>_xlfn.XLOOKUP(Table125181[[#This Row],[ACA Number]],Table127163143556797[NAT Number],Table127163143556797[TT race points])</f>
        <v>#N/A</v>
      </c>
      <c r="AK3">
        <f>_xlfn.XLOOKUP(Table125181[[#This Row],[ACA Number]],Table1271631435567[NAT Number],Table1271631435567[TT race points])</f>
        <v>371.18</v>
      </c>
      <c r="AL3" cm="1">
        <f t="array" ref="AL3">_xlfn.LET(_xlpm.r,Table125181[[#This Row],[CM GS1]:[MF GS]],_xlpm.m,_xlfn.AGGREGATE(15,6,_xlpm.r/(_xlpm.r&lt;&gt;999.99),1),IFERROR(_xlpm.m,999.99))</f>
        <v>371.18</v>
      </c>
      <c r="AM3" cm="1">
        <f t="array" ref="AM3">_xlfn.LET(_xlpm.r,Table125181[[#This Row],[CM GS1]:[MF GS]],_xlpm.m,_xlfn.AGGREGATE(15,6,_xlpm.r/(_xlpm.r&lt;&gt;999.99),2),IFERROR(_xlpm.m,999.99))</f>
        <v>999.99</v>
      </c>
      <c r="AO3">
        <v>111248</v>
      </c>
      <c r="AP3" t="s">
        <v>805</v>
      </c>
      <c r="AQ3" t="s">
        <v>791</v>
      </c>
      <c r="AR3">
        <f>_xlfn.XLOOKUP(Table126182[[#This Row],[ACA Number]],Table121177[ACA Number],Table121177[Best 1 run SL race])</f>
        <v>112.46</v>
      </c>
      <c r="AS3">
        <f>_xlfn.XLOOKUP(Table126182[[#This Row],[ACA Number]],Table123179[ACA Number],Table123179[Best 1 Run])</f>
        <v>91.92</v>
      </c>
      <c r="AT3">
        <f>_xlfn.XLOOKUP(Table126182[[#This Row],[ACA Number]],Table124180[ACA Number],Table124180[Best result],)</f>
        <v>112.54</v>
      </c>
      <c r="AU3">
        <f>_xlfn.XLOOKUP(Table126182[[#This Row],[ACA Number]],Table124180[ACA Number],Table124180[2nd Best Result])</f>
        <v>217.58</v>
      </c>
      <c r="AV3">
        <f>_xlfn.XLOOKUP(Table126182[[#This Row],[ACA Number]],Table125181[ACA Number],Table125181[Best result])</f>
        <v>79.42</v>
      </c>
      <c r="AW3">
        <f>_xlfn.XLOOKUP(Table126182[[#This Row],[ACA Number]],Table125181[ACA Number],Table125181[2nd Best Result])</f>
        <v>92.54</v>
      </c>
      <c r="AX3">
        <f t="shared" ref="AX3:AX20" si="0">SUM(AR3:AW3)</f>
        <v>706.45999999999992</v>
      </c>
      <c r="AY3">
        <f>_xlfn.RANK.EQ(Table126182[[#This Row],[Total Points]],Table126182[Total Points],1)</f>
        <v>1</v>
      </c>
    </row>
    <row r="4" spans="1:51" x14ac:dyDescent="0.3">
      <c r="A4">
        <v>109934</v>
      </c>
      <c r="B4" t="s">
        <v>792</v>
      </c>
      <c r="C4" t="s">
        <v>791</v>
      </c>
      <c r="D4">
        <f>_xlfn.XLOOKUP(Table121177[[#This Row],[ACA Number]],Table12[NAT Number],Table12[run 1 points])</f>
        <v>999.99</v>
      </c>
      <c r="E4">
        <f>_xlfn.XLOOKUP(Table121177[[#This Row],[ACA Number]],Table12[NAT Number],Table12[run 2 points])</f>
        <v>999.99</v>
      </c>
      <c r="F4">
        <f>_xlfn.XLOOKUP(Table121177[[#This Row],[ACA Number]],Table1225[NAT Number],Table1225[run 1 points])</f>
        <v>507.73</v>
      </c>
      <c r="G4">
        <f>_xlfn.XLOOKUP(Table121177[[#This Row],[ACA Number]],Table1225[NAT Number],Table1225[run 2 points])</f>
        <v>496.99</v>
      </c>
      <c r="H4">
        <f>_xlfn.XLOOKUP(Table121177[[#This Row],[ACA Number]],Table127163143556779[NAT Number],Table127163143556779[run 1 points])</f>
        <v>292.41000000000003</v>
      </c>
      <c r="I4">
        <f>_xlfn.XLOOKUP(Table121177[[#This Row],[ACA Number]],Table127163143556779[NAT Number],Table127163143556779[run 2 points])</f>
        <v>300.3</v>
      </c>
      <c r="J4" cm="1">
        <f t="array" ref="J4">_xlfn.LET(_xlpm.r,Table121177[[#This Row],[PM SL1 R1]:[MF SL1 R2]],_xlpm.m,_xlfn.AGGREGATE(15,6,_xlpm.r/(_xlpm.r&lt;&gt;999.99),1),IFERROR(_xlpm.m,999.99))</f>
        <v>292.41000000000003</v>
      </c>
      <c r="L4">
        <v>109934</v>
      </c>
      <c r="M4" t="s">
        <v>792</v>
      </c>
      <c r="N4" t="s">
        <v>791</v>
      </c>
      <c r="O4" t="e">
        <f>_xlfn.XLOOKUP(Table123179[[#This Row],[ACA Number]],Table127163143556797103[NAT Number],Table127163143556797103[run 1 points])</f>
        <v>#N/A</v>
      </c>
      <c r="P4" t="e">
        <f>_xlfn.XLOOKUP(Table123179[[#This Row],[ACA Number]],Table127163143556797103[NAT Number],Table127163143556797103[run 2 points])</f>
        <v>#N/A</v>
      </c>
      <c r="Q4" t="e">
        <f>_xlfn.XLOOKUP(Table123179[[#This Row],[ACA Number]],Table127163143556797[NAT Number],Table127163143556797[run 1 points])</f>
        <v>#N/A</v>
      </c>
      <c r="R4" t="e">
        <f>_xlfn.XLOOKUP(Table123179[[#This Row],[ACA Number]],Table127163143556797[NAT Number],Table127163143556797[run 2 points])</f>
        <v>#N/A</v>
      </c>
      <c r="S4">
        <f>_xlfn.XLOOKUP(Table123179[[#This Row],[ACA Number]],Table1271631435567[NAT Number],Table1271631435567[run 1 points])</f>
        <v>349.26</v>
      </c>
      <c r="T4">
        <f>_xlfn.XLOOKUP(Table123179[[#This Row],[ACA Number]],Table1271631435567[NAT Number],Table1271631435567[run 2 points])</f>
        <v>329.85</v>
      </c>
      <c r="U4" cm="1">
        <f t="array" ref="U4">_xlfn.LET(_xlpm.r,Table123179[[#This Row],[CM GS1 R1]:[MF GS R2]],_xlpm.m,_xlfn.AGGREGATE(15,6,_xlpm.r/(_xlpm.r&lt;&gt;999.99),1),IFERROR(_xlpm.m,999.99))</f>
        <v>329.85</v>
      </c>
      <c r="W4">
        <v>109934</v>
      </c>
      <c r="X4" t="s">
        <v>792</v>
      </c>
      <c r="Y4" t="s">
        <v>791</v>
      </c>
      <c r="Z4">
        <f>_xlfn.XLOOKUP(Table124180[[#This Row],[ACA Number]],Table12[NAT Number],Table12[TT race points])</f>
        <v>999.99</v>
      </c>
      <c r="AA4">
        <f>_xlfn.XLOOKUP(Table124180[[#This Row],[ACA Number]],Table1225[NAT Number],Table1225[TT race points])</f>
        <v>502.27</v>
      </c>
      <c r="AB4">
        <f>_xlfn.XLOOKUP(Table124180[[#This Row],[ACA Number]],Table127163143556779[NAT Number],Table127163143556779[TT race points])</f>
        <v>292.18</v>
      </c>
      <c r="AC4" cm="1">
        <f t="array" ref="AC4">_xlfn.LET(_xlpm.r,Table124180[[#This Row],[PM SL1]:[MF SL]],_xlpm.m,_xlfn.AGGREGATE(15,6,_xlpm.r/(_xlpm.r&lt;&gt;999.99),1),IFERROR(_xlpm.m,999.99))</f>
        <v>292.18</v>
      </c>
      <c r="AD4" cm="1">
        <f t="array" ref="AD4">_xlfn.LET(_xlpm.r,Table124180[[#This Row],[PM SL1]:[MF SL]],_xlpm.m,_xlfn.AGGREGATE(15,6,_xlpm.r/(_xlpm.r&lt;&gt;999.99),2),IFERROR(_xlpm.m,999.99))</f>
        <v>502.27</v>
      </c>
      <c r="AF4">
        <v>109934</v>
      </c>
      <c r="AG4" t="s">
        <v>792</v>
      </c>
      <c r="AH4" t="s">
        <v>791</v>
      </c>
      <c r="AI4" t="e">
        <f>_xlfn.XLOOKUP(Table125181[[#This Row],[ACA Number]],Table127163143556797103[NAT Number],Table127163143556797103[TT race points])</f>
        <v>#N/A</v>
      </c>
      <c r="AJ4" t="e">
        <f>_xlfn.XLOOKUP(Table125181[[#This Row],[ACA Number]],Table127163143556797[NAT Number],Table127163143556797[TT race points])</f>
        <v>#N/A</v>
      </c>
      <c r="AK4">
        <f>_xlfn.XLOOKUP(Table125181[[#This Row],[ACA Number]],Table1271631435567[NAT Number],Table1271631435567[TT race points])</f>
        <v>339.49</v>
      </c>
      <c r="AL4" cm="1">
        <f t="array" ref="AL4">_xlfn.LET(_xlpm.r,Table125181[[#This Row],[CM GS1]:[MF GS]],_xlpm.m,_xlfn.AGGREGATE(15,6,_xlpm.r/(_xlpm.r&lt;&gt;999.99),1),IFERROR(_xlpm.m,999.99))</f>
        <v>339.49</v>
      </c>
      <c r="AM4" cm="1">
        <f t="array" ref="AM4">_xlfn.LET(_xlpm.r,Table125181[[#This Row],[CM GS1]:[MF GS]],_xlpm.m,_xlfn.AGGREGATE(15,6,_xlpm.r/(_xlpm.r&lt;&gt;999.99),2),IFERROR(_xlpm.m,999.99))</f>
        <v>999.99</v>
      </c>
      <c r="AO4">
        <v>119074</v>
      </c>
      <c r="AP4" t="s">
        <v>807</v>
      </c>
      <c r="AQ4" t="s">
        <v>791</v>
      </c>
      <c r="AR4">
        <f>_xlfn.XLOOKUP(Table126182[[#This Row],[ACA Number]],Table121177[ACA Number],Table121177[Best 1 run SL race])</f>
        <v>245.03</v>
      </c>
      <c r="AS4">
        <f>_xlfn.XLOOKUP(Table126182[[#This Row],[ACA Number]],Table123179[ACA Number],Table123179[Best 1 Run])</f>
        <v>180.74</v>
      </c>
      <c r="AT4">
        <f>_xlfn.XLOOKUP(Table126182[[#This Row],[ACA Number]],Table124180[ACA Number],Table124180[Best result],)</f>
        <v>245.41</v>
      </c>
      <c r="AU4">
        <f>_xlfn.XLOOKUP(Table126182[[#This Row],[ACA Number]],Table124180[ACA Number],Table124180[2nd Best Result])</f>
        <v>353.12</v>
      </c>
      <c r="AV4">
        <f>_xlfn.XLOOKUP(Table126182[[#This Row],[ACA Number]],Table125181[ACA Number],Table125181[Best result])</f>
        <v>181.13</v>
      </c>
      <c r="AW4">
        <f>_xlfn.XLOOKUP(Table126182[[#This Row],[ACA Number]],Table125181[ACA Number],Table125181[2nd Best Result])</f>
        <v>199.11</v>
      </c>
      <c r="AX4">
        <f t="shared" si="0"/>
        <v>1404.54</v>
      </c>
      <c r="AY4">
        <f>_xlfn.RANK.EQ(Table126182[[#This Row],[Total Points]],Table126182[Total Points],1)</f>
        <v>3</v>
      </c>
    </row>
    <row r="5" spans="1:51" x14ac:dyDescent="0.3">
      <c r="A5">
        <v>124822</v>
      </c>
      <c r="B5" t="s">
        <v>793</v>
      </c>
      <c r="C5" t="s">
        <v>791</v>
      </c>
      <c r="D5" t="e">
        <f>_xlfn.XLOOKUP(Table121177[[#This Row],[ACA Number]],Table12[NAT Number],Table12[run 1 points])</f>
        <v>#N/A</v>
      </c>
      <c r="E5" t="e">
        <f>_xlfn.XLOOKUP(Table121177[[#This Row],[ACA Number]],Table12[NAT Number],Table12[run 2 points])</f>
        <v>#N/A</v>
      </c>
      <c r="F5" t="e">
        <f>_xlfn.XLOOKUP(Table121177[[#This Row],[ACA Number]],Table1225[NAT Number],Table1225[run 1 points])</f>
        <v>#N/A</v>
      </c>
      <c r="G5" t="e">
        <f>_xlfn.XLOOKUP(Table121177[[#This Row],[ACA Number]],Table1225[NAT Number],Table1225[run 2 points])</f>
        <v>#N/A</v>
      </c>
      <c r="H5" t="e">
        <f>_xlfn.XLOOKUP(Table121177[[#This Row],[ACA Number]],Table127163143556779[NAT Number],Table127163143556779[run 1 points])</f>
        <v>#N/A</v>
      </c>
      <c r="I5" t="e">
        <f>_xlfn.XLOOKUP(Table121177[[#This Row],[ACA Number]],Table127163143556779[NAT Number],Table127163143556779[run 2 points])</f>
        <v>#N/A</v>
      </c>
      <c r="J5" cm="1">
        <f t="array" ref="J5">_xlfn.LET(_xlpm.r,Table121177[[#This Row],[PM SL1 R1]:[MF SL1 R2]],_xlpm.m,_xlfn.AGGREGATE(15,6,_xlpm.r/(_xlpm.r&lt;&gt;999.99),1),IFERROR(_xlpm.m,999.99))</f>
        <v>999.99</v>
      </c>
      <c r="L5">
        <v>124822</v>
      </c>
      <c r="M5" t="s">
        <v>793</v>
      </c>
      <c r="N5" t="s">
        <v>791</v>
      </c>
      <c r="O5" t="e">
        <f>_xlfn.XLOOKUP(Table123179[[#This Row],[ACA Number]],Table127163143556797103[NAT Number],Table127163143556797103[run 1 points])</f>
        <v>#N/A</v>
      </c>
      <c r="P5" t="e">
        <f>_xlfn.XLOOKUP(Table123179[[#This Row],[ACA Number]],Table127163143556797103[NAT Number],Table127163143556797103[run 2 points])</f>
        <v>#N/A</v>
      </c>
      <c r="Q5" t="e">
        <f>_xlfn.XLOOKUP(Table123179[[#This Row],[ACA Number]],Table127163143556797[NAT Number],Table127163143556797[run 1 points])</f>
        <v>#N/A</v>
      </c>
      <c r="R5" t="e">
        <f>_xlfn.XLOOKUP(Table123179[[#This Row],[ACA Number]],Table127163143556797[NAT Number],Table127163143556797[run 2 points])</f>
        <v>#N/A</v>
      </c>
      <c r="S5" t="e">
        <f>_xlfn.XLOOKUP(Table123179[[#This Row],[ACA Number]],Table1271631435567[NAT Number],Table1271631435567[run 1 points])</f>
        <v>#N/A</v>
      </c>
      <c r="T5" t="e">
        <f>_xlfn.XLOOKUP(Table123179[[#This Row],[ACA Number]],Table1271631435567[NAT Number],Table1271631435567[run 2 points])</f>
        <v>#N/A</v>
      </c>
      <c r="U5" cm="1">
        <f t="array" ref="U5">_xlfn.LET(_xlpm.r,Table123179[[#This Row],[CM GS1 R1]:[MF GS R2]],_xlpm.m,_xlfn.AGGREGATE(15,6,_xlpm.r/(_xlpm.r&lt;&gt;999.99),1),IFERROR(_xlpm.m,999.99))</f>
        <v>999.99</v>
      </c>
      <c r="W5">
        <v>124822</v>
      </c>
      <c r="X5" t="s">
        <v>793</v>
      </c>
      <c r="Y5" t="s">
        <v>791</v>
      </c>
      <c r="Z5" t="e">
        <f>_xlfn.XLOOKUP(Table124180[[#This Row],[ACA Number]],Table12[NAT Number],Table12[TT race points])</f>
        <v>#N/A</v>
      </c>
      <c r="AA5" t="e">
        <f>_xlfn.XLOOKUP(Table124180[[#This Row],[ACA Number]],Table1225[NAT Number],Table1225[TT race points])</f>
        <v>#N/A</v>
      </c>
      <c r="AB5" t="e">
        <f>_xlfn.XLOOKUP(Table124180[[#This Row],[ACA Number]],Table127163143556779[NAT Number],Table127163143556779[TT race points])</f>
        <v>#N/A</v>
      </c>
      <c r="AC5" cm="1">
        <f t="array" ref="AC5">_xlfn.LET(_xlpm.r,Table124180[[#This Row],[PM SL1]:[MF SL]],_xlpm.m,_xlfn.AGGREGATE(15,6,_xlpm.r/(_xlpm.r&lt;&gt;999.99),1),IFERROR(_xlpm.m,999.99))</f>
        <v>999.99</v>
      </c>
      <c r="AD5" cm="1">
        <f t="array" ref="AD5">_xlfn.LET(_xlpm.r,Table124180[[#This Row],[PM SL1]:[MF SL]],_xlpm.m,_xlfn.AGGREGATE(15,6,_xlpm.r/(_xlpm.r&lt;&gt;999.99),2),IFERROR(_xlpm.m,999.99))</f>
        <v>999.99</v>
      </c>
      <c r="AF5">
        <v>124822</v>
      </c>
      <c r="AG5" t="s">
        <v>793</v>
      </c>
      <c r="AH5" t="s">
        <v>791</v>
      </c>
      <c r="AI5" t="e">
        <f>_xlfn.XLOOKUP(Table125181[[#This Row],[ACA Number]],Table127163143556797103[NAT Number],Table127163143556797103[TT race points])</f>
        <v>#N/A</v>
      </c>
      <c r="AJ5" t="e">
        <f>_xlfn.XLOOKUP(Table125181[[#This Row],[ACA Number]],Table127163143556797[NAT Number],Table127163143556797[TT race points])</f>
        <v>#N/A</v>
      </c>
      <c r="AK5" t="e">
        <f>_xlfn.XLOOKUP(Table125181[[#This Row],[ACA Number]],Table1271631435567[NAT Number],Table1271631435567[TT race points])</f>
        <v>#N/A</v>
      </c>
      <c r="AL5" cm="1">
        <f t="array" ref="AL5">_xlfn.LET(_xlpm.r,Table125181[[#This Row],[CM GS1]:[MF GS]],_xlpm.m,_xlfn.AGGREGATE(15,6,_xlpm.r/(_xlpm.r&lt;&gt;999.99),1),IFERROR(_xlpm.m,999.99))</f>
        <v>999.99</v>
      </c>
      <c r="AM5" cm="1">
        <f t="array" ref="AM5">_xlfn.LET(_xlpm.r,Table125181[[#This Row],[CM GS1]:[MF GS]],_xlpm.m,_xlfn.AGGREGATE(15,6,_xlpm.r/(_xlpm.r&lt;&gt;999.99),2),IFERROR(_xlpm.m,999.99))</f>
        <v>999.99</v>
      </c>
      <c r="AO5">
        <v>116952</v>
      </c>
      <c r="AP5" t="s">
        <v>798</v>
      </c>
      <c r="AQ5" t="s">
        <v>791</v>
      </c>
      <c r="AR5">
        <f>_xlfn.XLOOKUP(Table126182[[#This Row],[ACA Number]],Table121177[ACA Number],Table121177[Best 1 run SL race])</f>
        <v>232.25</v>
      </c>
      <c r="AS5">
        <f>_xlfn.XLOOKUP(Table126182[[#This Row],[ACA Number]],Table123179[ACA Number],Table123179[Best 1 Run])</f>
        <v>99.3</v>
      </c>
      <c r="AT5">
        <f>_xlfn.XLOOKUP(Table126182[[#This Row],[ACA Number]],Table124180[ACA Number],Table124180[Best result],)</f>
        <v>248.65</v>
      </c>
      <c r="AU5">
        <f>_xlfn.XLOOKUP(Table126182[[#This Row],[ACA Number]],Table124180[ACA Number],Table124180[2nd Best Result])</f>
        <v>263.02999999999997</v>
      </c>
      <c r="AV5">
        <f>_xlfn.XLOOKUP(Table126182[[#This Row],[ACA Number]],Table125181[ACA Number],Table125181[Best result])</f>
        <v>92.01</v>
      </c>
      <c r="AW5">
        <f>_xlfn.XLOOKUP(Table126182[[#This Row],[ACA Number]],Table125181[ACA Number],Table125181[2nd Best Result])</f>
        <v>999.99</v>
      </c>
      <c r="AX5">
        <f t="shared" si="0"/>
        <v>1935.23</v>
      </c>
      <c r="AY5">
        <f>_xlfn.RANK.EQ(Table126182[[#This Row],[Total Points]],Table126182[Total Points],1)</f>
        <v>5</v>
      </c>
    </row>
    <row r="6" spans="1:51" x14ac:dyDescent="0.3">
      <c r="A6">
        <v>124080</v>
      </c>
      <c r="B6" t="s">
        <v>794</v>
      </c>
      <c r="C6" t="s">
        <v>791</v>
      </c>
      <c r="D6" t="e">
        <f>_xlfn.XLOOKUP(Table121177[[#This Row],[ACA Number]],Table12[NAT Number],Table12[run 1 points])</f>
        <v>#N/A</v>
      </c>
      <c r="E6" t="e">
        <f>_xlfn.XLOOKUP(Table121177[[#This Row],[ACA Number]],Table12[NAT Number],Table12[run 2 points])</f>
        <v>#N/A</v>
      </c>
      <c r="F6" t="e">
        <f>_xlfn.XLOOKUP(Table121177[[#This Row],[ACA Number]],Table1225[NAT Number],Table1225[run 1 points])</f>
        <v>#N/A</v>
      </c>
      <c r="G6" t="e">
        <f>_xlfn.XLOOKUP(Table121177[[#This Row],[ACA Number]],Table1225[NAT Number],Table1225[run 2 points])</f>
        <v>#N/A</v>
      </c>
      <c r="H6">
        <f>_xlfn.XLOOKUP(Table121177[[#This Row],[ACA Number]],Table127163143556779[NAT Number],Table127163143556779[run 1 points])</f>
        <v>397.8</v>
      </c>
      <c r="I6">
        <f>_xlfn.XLOOKUP(Table121177[[#This Row],[ACA Number]],Table127163143556779[NAT Number],Table127163143556779[run 2 points])</f>
        <v>422.18</v>
      </c>
      <c r="J6" cm="1">
        <f t="array" ref="J6">_xlfn.LET(_xlpm.r,Table121177[[#This Row],[PM SL1 R1]:[MF SL1 R2]],_xlpm.m,_xlfn.AGGREGATE(15,6,_xlpm.r/(_xlpm.r&lt;&gt;999.99),1),IFERROR(_xlpm.m,999.99))</f>
        <v>397.8</v>
      </c>
      <c r="L6">
        <v>124080</v>
      </c>
      <c r="M6" t="s">
        <v>794</v>
      </c>
      <c r="N6" t="s">
        <v>791</v>
      </c>
      <c r="O6">
        <f>_xlfn.XLOOKUP(Table123179[[#This Row],[ACA Number]],Table127163143556797103[NAT Number],Table127163143556797103[run 1 points])</f>
        <v>445.51</v>
      </c>
      <c r="P6">
        <f>_xlfn.XLOOKUP(Table123179[[#This Row],[ACA Number]],Table127163143556797103[NAT Number],Table127163143556797103[run 2 points])</f>
        <v>999.99</v>
      </c>
      <c r="Q6">
        <f>_xlfn.XLOOKUP(Table123179[[#This Row],[ACA Number]],Table127163143556797[NAT Number],Table127163143556797[run 1 points])</f>
        <v>999.99</v>
      </c>
      <c r="R6">
        <f>_xlfn.XLOOKUP(Table123179[[#This Row],[ACA Number]],Table127163143556797[NAT Number],Table127163143556797[run 2 points])</f>
        <v>606.26</v>
      </c>
      <c r="S6">
        <f>_xlfn.XLOOKUP(Table123179[[#This Row],[ACA Number]],Table1271631435567[NAT Number],Table1271631435567[run 1 points])</f>
        <v>384.38</v>
      </c>
      <c r="T6">
        <f>_xlfn.XLOOKUP(Table123179[[#This Row],[ACA Number]],Table1271631435567[NAT Number],Table1271631435567[run 2 points])</f>
        <v>326.63</v>
      </c>
      <c r="U6" cm="1">
        <f t="array" ref="U6">_xlfn.LET(_xlpm.r,Table123179[[#This Row],[CM GS1 R1]:[MF GS R2]],_xlpm.m,_xlfn.AGGREGATE(15,6,_xlpm.r/(_xlpm.r&lt;&gt;999.99),1),IFERROR(_xlpm.m,999.99))</f>
        <v>326.63</v>
      </c>
      <c r="W6">
        <v>124080</v>
      </c>
      <c r="X6" t="s">
        <v>794</v>
      </c>
      <c r="Y6" t="s">
        <v>791</v>
      </c>
      <c r="Z6" t="e">
        <f>_xlfn.XLOOKUP(Table124180[[#This Row],[ACA Number]],Table12[NAT Number],Table12[TT race points])</f>
        <v>#N/A</v>
      </c>
      <c r="AA6" t="e">
        <f>_xlfn.XLOOKUP(Table124180[[#This Row],[ACA Number]],Table1225[NAT Number],Table1225[TT race points])</f>
        <v>#N/A</v>
      </c>
      <c r="AB6">
        <f>_xlfn.XLOOKUP(Table124180[[#This Row],[ACA Number]],Table127163143556779[NAT Number],Table127163143556779[TT race points])</f>
        <v>405.75</v>
      </c>
      <c r="AC6" cm="1">
        <f t="array" ref="AC6">_xlfn.LET(_xlpm.r,Table124180[[#This Row],[PM SL1]:[MF SL]],_xlpm.m,_xlfn.AGGREGATE(15,6,_xlpm.r/(_xlpm.r&lt;&gt;999.99),1),IFERROR(_xlpm.m,999.99))</f>
        <v>405.75</v>
      </c>
      <c r="AD6" cm="1">
        <f t="array" ref="AD6">_xlfn.LET(_xlpm.r,Table124180[[#This Row],[PM SL1]:[MF SL]],_xlpm.m,_xlfn.AGGREGATE(15,6,_xlpm.r/(_xlpm.r&lt;&gt;999.99),2),IFERROR(_xlpm.m,999.99))</f>
        <v>999.99</v>
      </c>
      <c r="AF6">
        <v>124080</v>
      </c>
      <c r="AG6" t="s">
        <v>794</v>
      </c>
      <c r="AH6" t="s">
        <v>791</v>
      </c>
      <c r="AI6">
        <f>_xlfn.XLOOKUP(Table125181[[#This Row],[ACA Number]],Table127163143556797103[NAT Number],Table127163143556797103[TT race points])</f>
        <v>999.99</v>
      </c>
      <c r="AJ6">
        <f>_xlfn.XLOOKUP(Table125181[[#This Row],[ACA Number]],Table127163143556797[NAT Number],Table127163143556797[TT race points])</f>
        <v>999.99</v>
      </c>
      <c r="AK6">
        <f>_xlfn.XLOOKUP(Table125181[[#This Row],[ACA Number]],Table1271631435567[NAT Number],Table1271631435567[TT race points])</f>
        <v>355.34</v>
      </c>
      <c r="AL6" cm="1">
        <f t="array" ref="AL6">_xlfn.LET(_xlpm.r,Table125181[[#This Row],[CM GS1]:[MF GS]],_xlpm.m,_xlfn.AGGREGATE(15,6,_xlpm.r/(_xlpm.r&lt;&gt;999.99),1),IFERROR(_xlpm.m,999.99))</f>
        <v>355.34</v>
      </c>
      <c r="AM6" cm="1">
        <f t="array" ref="AM6">_xlfn.LET(_xlpm.r,Table125181[[#This Row],[CM GS1]:[MF GS]],_xlpm.m,_xlfn.AGGREGATE(15,6,_xlpm.r/(_xlpm.r&lt;&gt;999.99),2),IFERROR(_xlpm.m,999.99))</f>
        <v>999.99</v>
      </c>
      <c r="AO6">
        <v>120660</v>
      </c>
      <c r="AP6" t="s">
        <v>797</v>
      </c>
      <c r="AQ6" t="s">
        <v>791</v>
      </c>
      <c r="AR6">
        <f>_xlfn.XLOOKUP(Table126182[[#This Row],[ACA Number]],Table121177[ACA Number],Table121177[Best 1 run SL race])</f>
        <v>211.02</v>
      </c>
      <c r="AS6">
        <f>_xlfn.XLOOKUP(Table126182[[#This Row],[ACA Number]],Table123179[ACA Number],Table123179[Best 1 Run])</f>
        <v>151.08000000000001</v>
      </c>
      <c r="AT6">
        <f>_xlfn.XLOOKUP(Table126182[[#This Row],[ACA Number]],Table124180[ACA Number],Table124180[Best result],)</f>
        <v>217.95</v>
      </c>
      <c r="AU6">
        <f>_xlfn.XLOOKUP(Table126182[[#This Row],[ACA Number]],Table124180[ACA Number],Table124180[2nd Best Result])</f>
        <v>304.61</v>
      </c>
      <c r="AV6">
        <f>_xlfn.XLOOKUP(Table126182[[#This Row],[ACA Number]],Table125181[ACA Number],Table125181[Best result])</f>
        <v>171.56</v>
      </c>
      <c r="AW6">
        <f>_xlfn.XLOOKUP(Table126182[[#This Row],[ACA Number]],Table125181[ACA Number],Table125181[2nd Best Result])</f>
        <v>189.13</v>
      </c>
      <c r="AX6">
        <f t="shared" si="0"/>
        <v>1245.3499999999999</v>
      </c>
      <c r="AY6">
        <f>_xlfn.RANK.EQ(Table126182[[#This Row],[Total Points]],Table126182[Total Points],1)</f>
        <v>2</v>
      </c>
    </row>
    <row r="7" spans="1:51" x14ac:dyDescent="0.3">
      <c r="A7">
        <v>120662</v>
      </c>
      <c r="B7" t="s">
        <v>795</v>
      </c>
      <c r="C7" t="s">
        <v>791</v>
      </c>
      <c r="D7">
        <f>_xlfn.XLOOKUP(Table121177[[#This Row],[ACA Number]],Table12[NAT Number],Table12[run 1 points])</f>
        <v>304.51</v>
      </c>
      <c r="E7">
        <f>_xlfn.XLOOKUP(Table121177[[#This Row],[ACA Number]],Table12[NAT Number],Table12[run 2 points])</f>
        <v>306.02999999999997</v>
      </c>
      <c r="F7">
        <f>_xlfn.XLOOKUP(Table121177[[#This Row],[ACA Number]],Table1225[NAT Number],Table1225[run 1 points])</f>
        <v>308.88</v>
      </c>
      <c r="G7">
        <f>_xlfn.XLOOKUP(Table121177[[#This Row],[ACA Number]],Table1225[NAT Number],Table1225[run 2 points])</f>
        <v>315.44</v>
      </c>
      <c r="H7">
        <f>_xlfn.XLOOKUP(Table121177[[#This Row],[ACA Number]],Table127163143556779[NAT Number],Table127163143556779[run 1 points])</f>
        <v>215.34</v>
      </c>
      <c r="I7">
        <f>_xlfn.XLOOKUP(Table121177[[#This Row],[ACA Number]],Table127163143556779[NAT Number],Table127163143556779[run 2 points])</f>
        <v>202.52</v>
      </c>
      <c r="J7" cm="1">
        <f t="array" ref="J7">_xlfn.LET(_xlpm.r,Table121177[[#This Row],[PM SL1 R1]:[MF SL1 R2]],_xlpm.m,_xlfn.AGGREGATE(15,6,_xlpm.r/(_xlpm.r&lt;&gt;999.99),1),IFERROR(_xlpm.m,999.99))</f>
        <v>202.52</v>
      </c>
      <c r="L7">
        <v>120662</v>
      </c>
      <c r="M7" t="s">
        <v>795</v>
      </c>
      <c r="N7" t="s">
        <v>791</v>
      </c>
      <c r="O7">
        <f>_xlfn.XLOOKUP(Table123179[[#This Row],[ACA Number]],Table127163143556797103[NAT Number],Table127163143556797103[run 1 points])</f>
        <v>292.99</v>
      </c>
      <c r="P7">
        <f>_xlfn.XLOOKUP(Table123179[[#This Row],[ACA Number]],Table127163143556797103[NAT Number],Table127163143556797103[run 2 points])</f>
        <v>999.99</v>
      </c>
      <c r="Q7">
        <f>_xlfn.XLOOKUP(Table123179[[#This Row],[ACA Number]],Table127163143556797[NAT Number],Table127163143556797[run 1 points])</f>
        <v>409.65</v>
      </c>
      <c r="R7">
        <f>_xlfn.XLOOKUP(Table123179[[#This Row],[ACA Number]],Table127163143556797[NAT Number],Table127163143556797[run 2 points])</f>
        <v>392.56</v>
      </c>
      <c r="S7">
        <f>_xlfn.XLOOKUP(Table123179[[#This Row],[ACA Number]],Table1271631435567[NAT Number],Table1271631435567[run 1 points])</f>
        <v>209.55</v>
      </c>
      <c r="T7">
        <f>_xlfn.XLOOKUP(Table123179[[#This Row],[ACA Number]],Table1271631435567[NAT Number],Table1271631435567[run 2 points])</f>
        <v>241.36</v>
      </c>
      <c r="U7" cm="1">
        <f t="array" ref="U7">_xlfn.LET(_xlpm.r,Table123179[[#This Row],[CM GS1 R1]:[MF GS R2]],_xlpm.m,_xlfn.AGGREGATE(15,6,_xlpm.r/(_xlpm.r&lt;&gt;999.99),1),IFERROR(_xlpm.m,999.99))</f>
        <v>209.55</v>
      </c>
      <c r="W7">
        <v>120662</v>
      </c>
      <c r="X7" t="s">
        <v>795</v>
      </c>
      <c r="Y7" t="s">
        <v>791</v>
      </c>
      <c r="Z7">
        <f>_xlfn.XLOOKUP(Table124180[[#This Row],[ACA Number]],Table12[NAT Number],Table12[TT race points])</f>
        <v>304.23</v>
      </c>
      <c r="AA7">
        <f>_xlfn.XLOOKUP(Table124180[[#This Row],[ACA Number]],Table1225[NAT Number],Table1225[TT race points])</f>
        <v>312.22000000000003</v>
      </c>
      <c r="AB7">
        <f>_xlfn.XLOOKUP(Table124180[[#This Row],[ACA Number]],Table127163143556779[NAT Number],Table127163143556779[TT race points])</f>
        <v>204.58</v>
      </c>
      <c r="AC7" cm="1">
        <f t="array" ref="AC7">_xlfn.LET(_xlpm.r,Table124180[[#This Row],[PM SL1]:[MF SL]],_xlpm.m,_xlfn.AGGREGATE(15,6,_xlpm.r/(_xlpm.r&lt;&gt;999.99),1),IFERROR(_xlpm.m,999.99))</f>
        <v>204.58</v>
      </c>
      <c r="AD7" cm="1">
        <f t="array" ref="AD7">_xlfn.LET(_xlpm.r,Table124180[[#This Row],[PM SL1]:[MF SL]],_xlpm.m,_xlfn.AGGREGATE(15,6,_xlpm.r/(_xlpm.r&lt;&gt;999.99),2),IFERROR(_xlpm.m,999.99))</f>
        <v>304.23</v>
      </c>
      <c r="AF7">
        <v>120662</v>
      </c>
      <c r="AG7" t="s">
        <v>795</v>
      </c>
      <c r="AH7" t="s">
        <v>791</v>
      </c>
      <c r="AI7">
        <f>_xlfn.XLOOKUP(Table125181[[#This Row],[ACA Number]],Table127163143556797103[NAT Number],Table127163143556797103[TT race points])</f>
        <v>999.99</v>
      </c>
      <c r="AJ7">
        <f>_xlfn.XLOOKUP(Table125181[[#This Row],[ACA Number]],Table127163143556797[NAT Number],Table127163143556797[TT race points])</f>
        <v>400.68</v>
      </c>
      <c r="AK7">
        <f>_xlfn.XLOOKUP(Table125181[[#This Row],[ACA Number]],Table1271631435567[NAT Number],Table1271631435567[TT race points])</f>
        <v>225.55</v>
      </c>
      <c r="AL7" cm="1">
        <f t="array" ref="AL7">_xlfn.LET(_xlpm.r,Table125181[[#This Row],[CM GS1]:[MF GS]],_xlpm.m,_xlfn.AGGREGATE(15,6,_xlpm.r/(_xlpm.r&lt;&gt;999.99),1),IFERROR(_xlpm.m,999.99))</f>
        <v>225.55</v>
      </c>
      <c r="AM7" cm="1">
        <f t="array" ref="AM7">_xlfn.LET(_xlpm.r,Table125181[[#This Row],[CM GS1]:[MF GS]],_xlpm.m,_xlfn.AGGREGATE(15,6,_xlpm.r/(_xlpm.r&lt;&gt;999.99),2),IFERROR(_xlpm.m,999.99))</f>
        <v>400.68</v>
      </c>
      <c r="AO7">
        <v>120662</v>
      </c>
      <c r="AP7" t="s">
        <v>795</v>
      </c>
      <c r="AQ7" t="s">
        <v>791</v>
      </c>
      <c r="AR7">
        <f>_xlfn.XLOOKUP(Table126182[[#This Row],[ACA Number]],Table121177[ACA Number],Table121177[Best 1 run SL race])</f>
        <v>202.52</v>
      </c>
      <c r="AS7">
        <f>_xlfn.XLOOKUP(Table126182[[#This Row],[ACA Number]],Table123179[ACA Number],Table123179[Best 1 Run])</f>
        <v>209.55</v>
      </c>
      <c r="AT7">
        <f>_xlfn.XLOOKUP(Table126182[[#This Row],[ACA Number]],Table124180[ACA Number],Table124180[Best result],)</f>
        <v>204.58</v>
      </c>
      <c r="AU7">
        <f>_xlfn.XLOOKUP(Table126182[[#This Row],[ACA Number]],Table124180[ACA Number],Table124180[2nd Best Result])</f>
        <v>304.23</v>
      </c>
      <c r="AV7">
        <f>_xlfn.XLOOKUP(Table126182[[#This Row],[ACA Number]],Table125181[ACA Number],Table125181[Best result])</f>
        <v>225.55</v>
      </c>
      <c r="AW7">
        <f>_xlfn.XLOOKUP(Table126182[[#This Row],[ACA Number]],Table125181[ACA Number],Table125181[2nd Best Result])</f>
        <v>400.68</v>
      </c>
      <c r="AX7">
        <f t="shared" si="0"/>
        <v>1547.1100000000001</v>
      </c>
      <c r="AY7">
        <f>_xlfn.RANK.EQ(Table126182[[#This Row],[Total Points]],Table126182[Total Points],1)</f>
        <v>4</v>
      </c>
    </row>
    <row r="8" spans="1:51" x14ac:dyDescent="0.3">
      <c r="A8">
        <v>120667</v>
      </c>
      <c r="B8" t="s">
        <v>796</v>
      </c>
      <c r="C8" t="s">
        <v>791</v>
      </c>
      <c r="D8">
        <f>_xlfn.XLOOKUP(Table121177[[#This Row],[ACA Number]],Table12[NAT Number],Table12[run 1 points])</f>
        <v>999.99</v>
      </c>
      <c r="E8">
        <f>_xlfn.XLOOKUP(Table121177[[#This Row],[ACA Number]],Table12[NAT Number],Table12[run 2 points])</f>
        <v>999.99</v>
      </c>
      <c r="F8">
        <f>_xlfn.XLOOKUP(Table121177[[#This Row],[ACA Number]],Table1225[NAT Number],Table1225[run 1 points])</f>
        <v>338.91</v>
      </c>
      <c r="G8">
        <f>_xlfn.XLOOKUP(Table121177[[#This Row],[ACA Number]],Table1225[NAT Number],Table1225[run 2 points])</f>
        <v>324.55</v>
      </c>
      <c r="H8">
        <f>_xlfn.XLOOKUP(Table121177[[#This Row],[ACA Number]],Table127163143556779[NAT Number],Table127163143556779[run 1 points])</f>
        <v>161.54</v>
      </c>
      <c r="I8">
        <f>_xlfn.XLOOKUP(Table121177[[#This Row],[ACA Number]],Table127163143556779[NAT Number],Table127163143556779[run 2 points])</f>
        <v>161.41999999999999</v>
      </c>
      <c r="J8" cm="1">
        <f t="array" ref="J8">_xlfn.LET(_xlpm.r,Table121177[[#This Row],[PM SL1 R1]:[MF SL1 R2]],_xlpm.m,_xlfn.AGGREGATE(15,6,_xlpm.r/(_xlpm.r&lt;&gt;999.99),1),IFERROR(_xlpm.m,999.99))</f>
        <v>161.41999999999999</v>
      </c>
      <c r="L8">
        <v>120667</v>
      </c>
      <c r="M8" t="s">
        <v>796</v>
      </c>
      <c r="N8" t="s">
        <v>791</v>
      </c>
      <c r="O8" t="e">
        <f>_xlfn.XLOOKUP(Table123179[[#This Row],[ACA Number]],Table127163143556797103[NAT Number],Table127163143556797103[run 1 points])</f>
        <v>#N/A</v>
      </c>
      <c r="P8" t="e">
        <f>_xlfn.XLOOKUP(Table123179[[#This Row],[ACA Number]],Table127163143556797103[NAT Number],Table127163143556797103[run 2 points])</f>
        <v>#N/A</v>
      </c>
      <c r="Q8" t="e">
        <f>_xlfn.XLOOKUP(Table123179[[#This Row],[ACA Number]],Table127163143556797[NAT Number],Table127163143556797[run 1 points])</f>
        <v>#N/A</v>
      </c>
      <c r="R8" t="e">
        <f>_xlfn.XLOOKUP(Table123179[[#This Row],[ACA Number]],Table127163143556797[NAT Number],Table127163143556797[run 2 points])</f>
        <v>#N/A</v>
      </c>
      <c r="S8">
        <f>_xlfn.XLOOKUP(Table123179[[#This Row],[ACA Number]],Table1271631435567[NAT Number],Table1271631435567[run 1 points])</f>
        <v>194.73</v>
      </c>
      <c r="T8">
        <f>_xlfn.XLOOKUP(Table123179[[#This Row],[ACA Number]],Table1271631435567[NAT Number],Table1271631435567[run 2 points])</f>
        <v>138.63999999999999</v>
      </c>
      <c r="U8" cm="1">
        <f t="array" ref="U8">_xlfn.LET(_xlpm.r,Table123179[[#This Row],[CM GS1 R1]:[MF GS R2]],_xlpm.m,_xlfn.AGGREGATE(15,6,_xlpm.r/(_xlpm.r&lt;&gt;999.99),1),IFERROR(_xlpm.m,999.99))</f>
        <v>138.63999999999999</v>
      </c>
      <c r="W8">
        <v>120667</v>
      </c>
      <c r="X8" t="s">
        <v>796</v>
      </c>
      <c r="Y8" t="s">
        <v>791</v>
      </c>
      <c r="Z8">
        <f>_xlfn.XLOOKUP(Table124180[[#This Row],[ACA Number]],Table12[NAT Number],Table12[TT race points])</f>
        <v>999.99</v>
      </c>
      <c r="AA8">
        <f>_xlfn.XLOOKUP(Table124180[[#This Row],[ACA Number]],Table1225[NAT Number],Table1225[TT race points])</f>
        <v>331.6</v>
      </c>
      <c r="AB8">
        <f>_xlfn.XLOOKUP(Table124180[[#This Row],[ACA Number]],Table127163143556779[NAT Number],Table127163143556779[TT race points])</f>
        <v>157.66999999999999</v>
      </c>
      <c r="AC8" cm="1">
        <f t="array" ref="AC8">_xlfn.LET(_xlpm.r,Table124180[[#This Row],[PM SL1]:[MF SL]],_xlpm.m,_xlfn.AGGREGATE(15,6,_xlpm.r/(_xlpm.r&lt;&gt;999.99),1),IFERROR(_xlpm.m,999.99))</f>
        <v>157.66999999999999</v>
      </c>
      <c r="AD8" cm="1">
        <f t="array" ref="AD8">_xlfn.LET(_xlpm.r,Table124180[[#This Row],[PM SL1]:[MF SL]],_xlpm.m,_xlfn.AGGREGATE(15,6,_xlpm.r/(_xlpm.r&lt;&gt;999.99),2),IFERROR(_xlpm.m,999.99))</f>
        <v>331.6</v>
      </c>
      <c r="AF8">
        <v>120667</v>
      </c>
      <c r="AG8" t="s">
        <v>796</v>
      </c>
      <c r="AH8" t="s">
        <v>791</v>
      </c>
      <c r="AI8" t="e">
        <f>_xlfn.XLOOKUP(Table125181[[#This Row],[ACA Number]],Table127163143556797103[NAT Number],Table127163143556797103[TT race points])</f>
        <v>#N/A</v>
      </c>
      <c r="AJ8" t="e">
        <f>_xlfn.XLOOKUP(Table125181[[#This Row],[ACA Number]],Table127163143556797[NAT Number],Table127163143556797[TT race points])</f>
        <v>#N/A</v>
      </c>
      <c r="AK8">
        <f>_xlfn.XLOOKUP(Table125181[[#This Row],[ACA Number]],Table1271631435567[NAT Number],Table1271631435567[TT race points])</f>
        <v>166.52</v>
      </c>
      <c r="AL8" cm="1">
        <f t="array" ref="AL8">_xlfn.LET(_xlpm.r,Table125181[[#This Row],[CM GS1]:[MF GS]],_xlpm.m,_xlfn.AGGREGATE(15,6,_xlpm.r/(_xlpm.r&lt;&gt;999.99),1),IFERROR(_xlpm.m,999.99))</f>
        <v>166.52</v>
      </c>
      <c r="AM8" cm="1">
        <f t="array" ref="AM8">_xlfn.LET(_xlpm.r,Table125181[[#This Row],[CM GS1]:[MF GS]],_xlpm.m,_xlfn.AGGREGATE(15,6,_xlpm.r/(_xlpm.r&lt;&gt;999.99),2),IFERROR(_xlpm.m,999.99))</f>
        <v>999.99</v>
      </c>
      <c r="AO8">
        <v>119081</v>
      </c>
      <c r="AP8" t="s">
        <v>808</v>
      </c>
      <c r="AQ8" t="s">
        <v>791</v>
      </c>
      <c r="AR8">
        <f>_xlfn.XLOOKUP(Table126182[[#This Row],[ACA Number]],Table121177[ACA Number],Table121177[Best 1 run SL race])</f>
        <v>273.38</v>
      </c>
      <c r="AS8">
        <f>_xlfn.XLOOKUP(Table126182[[#This Row],[ACA Number]],Table123179[ACA Number],Table123179[Best 1 Run])</f>
        <v>235.14</v>
      </c>
      <c r="AT8">
        <f>_xlfn.XLOOKUP(Table126182[[#This Row],[ACA Number]],Table124180[ACA Number],Table124180[Best result],)</f>
        <v>275.10000000000002</v>
      </c>
      <c r="AU8">
        <f>_xlfn.XLOOKUP(Table126182[[#This Row],[ACA Number]],Table124180[ACA Number],Table124180[2nd Best Result])</f>
        <v>437.78</v>
      </c>
      <c r="AV8">
        <f>_xlfn.XLOOKUP(Table126182[[#This Row],[ACA Number]],Table125181[ACA Number],Table125181[Best result])</f>
        <v>272.89</v>
      </c>
      <c r="AW8">
        <f>_xlfn.XLOOKUP(Table126182[[#This Row],[ACA Number]],Table125181[ACA Number],Table125181[2nd Best Result])</f>
        <v>520.04999999999995</v>
      </c>
      <c r="AX8">
        <f t="shared" si="0"/>
        <v>2014.34</v>
      </c>
      <c r="AY8">
        <f>_xlfn.RANK.EQ(Table126182[[#This Row],[Total Points]],Table126182[Total Points],1)</f>
        <v>7</v>
      </c>
    </row>
    <row r="9" spans="1:51" x14ac:dyDescent="0.3">
      <c r="A9">
        <v>120660</v>
      </c>
      <c r="B9" t="s">
        <v>797</v>
      </c>
      <c r="C9" t="s">
        <v>791</v>
      </c>
      <c r="D9">
        <f>_xlfn.XLOOKUP(Table121177[[#This Row],[ACA Number]],Table12[NAT Number],Table12[run 1 points])</f>
        <v>300.37</v>
      </c>
      <c r="E9">
        <f>_xlfn.XLOOKUP(Table121177[[#This Row],[ACA Number]],Table12[NAT Number],Table12[run 2 points])</f>
        <v>310.68</v>
      </c>
      <c r="F9">
        <f>_xlfn.XLOOKUP(Table121177[[#This Row],[ACA Number]],Table1225[NAT Number],Table1225[run 1 points])</f>
        <v>289.08</v>
      </c>
      <c r="G9">
        <f>_xlfn.XLOOKUP(Table121177[[#This Row],[ACA Number]],Table1225[NAT Number],Table1225[run 2 points])</f>
        <v>999.99</v>
      </c>
      <c r="H9">
        <f>_xlfn.XLOOKUP(Table121177[[#This Row],[ACA Number]],Table127163143556779[NAT Number],Table127163143556779[run 1 points])</f>
        <v>234.21</v>
      </c>
      <c r="I9">
        <f>_xlfn.XLOOKUP(Table121177[[#This Row],[ACA Number]],Table127163143556779[NAT Number],Table127163143556779[run 2 points])</f>
        <v>211.02</v>
      </c>
      <c r="J9" cm="1">
        <f t="array" ref="J9">_xlfn.LET(_xlpm.r,Table121177[[#This Row],[PM SL1 R1]:[MF SL1 R2]],_xlpm.m,_xlfn.AGGREGATE(15,6,_xlpm.r/(_xlpm.r&lt;&gt;999.99),1),IFERROR(_xlpm.m,999.99))</f>
        <v>211.02</v>
      </c>
      <c r="L9">
        <v>120660</v>
      </c>
      <c r="M9" t="s">
        <v>797</v>
      </c>
      <c r="N9" t="s">
        <v>791</v>
      </c>
      <c r="O9">
        <f>_xlfn.XLOOKUP(Table123179[[#This Row],[ACA Number]],Table127163143556797103[NAT Number],Table127163143556797103[run 1 points])</f>
        <v>219.97</v>
      </c>
      <c r="P9">
        <f>_xlfn.XLOOKUP(Table123179[[#This Row],[ACA Number]],Table127163143556797103[NAT Number],Table127163143556797103[run 2 points])</f>
        <v>240.4</v>
      </c>
      <c r="Q9">
        <f>_xlfn.XLOOKUP(Table123179[[#This Row],[ACA Number]],Table127163143556797[NAT Number],Table127163143556797[run 1 points])</f>
        <v>349.43</v>
      </c>
      <c r="R9">
        <f>_xlfn.XLOOKUP(Table123179[[#This Row],[ACA Number]],Table127163143556797[NAT Number],Table127163143556797[run 2 points])</f>
        <v>386.97</v>
      </c>
      <c r="S9">
        <f>_xlfn.XLOOKUP(Table123179[[#This Row],[ACA Number]],Table1271631435567[NAT Number],Table1271631435567[run 1 points])</f>
        <v>192.29</v>
      </c>
      <c r="T9">
        <f>_xlfn.XLOOKUP(Table123179[[#This Row],[ACA Number]],Table1271631435567[NAT Number],Table1271631435567[run 2 points])</f>
        <v>151.08000000000001</v>
      </c>
      <c r="U9" cm="1">
        <f t="array" ref="U9">_xlfn.LET(_xlpm.r,Table123179[[#This Row],[CM GS1 R1]:[MF GS R2]],_xlpm.m,_xlfn.AGGREGATE(15,6,_xlpm.r/(_xlpm.r&lt;&gt;999.99),1),IFERROR(_xlpm.m,999.99))</f>
        <v>151.08000000000001</v>
      </c>
      <c r="W9">
        <v>120660</v>
      </c>
      <c r="X9" t="s">
        <v>797</v>
      </c>
      <c r="Y9" t="s">
        <v>791</v>
      </c>
      <c r="Z9">
        <f>_xlfn.XLOOKUP(Table124180[[#This Row],[ACA Number]],Table12[NAT Number],Table12[TT race points])</f>
        <v>304.61</v>
      </c>
      <c r="AA9">
        <f>_xlfn.XLOOKUP(Table124180[[#This Row],[ACA Number]],Table1225[NAT Number],Table1225[TT race points])</f>
        <v>999.99</v>
      </c>
      <c r="AB9">
        <f>_xlfn.XLOOKUP(Table124180[[#This Row],[ACA Number]],Table127163143556779[NAT Number],Table127163143556779[TT race points])</f>
        <v>217.95</v>
      </c>
      <c r="AC9" cm="1">
        <f t="array" ref="AC9">_xlfn.LET(_xlpm.r,Table124180[[#This Row],[PM SL1]:[MF SL]],_xlpm.m,_xlfn.AGGREGATE(15,6,_xlpm.r/(_xlpm.r&lt;&gt;999.99),1),IFERROR(_xlpm.m,999.99))</f>
        <v>217.95</v>
      </c>
      <c r="AD9" cm="1">
        <f t="array" ref="AD9">_xlfn.LET(_xlpm.r,Table124180[[#This Row],[PM SL1]:[MF SL]],_xlpm.m,_xlfn.AGGREGATE(15,6,_xlpm.r/(_xlpm.r&lt;&gt;999.99),2),IFERROR(_xlpm.m,999.99))</f>
        <v>304.61</v>
      </c>
      <c r="AF9">
        <v>120660</v>
      </c>
      <c r="AG9" t="s">
        <v>797</v>
      </c>
      <c r="AH9" t="s">
        <v>791</v>
      </c>
      <c r="AI9">
        <f>_xlfn.XLOOKUP(Table125181[[#This Row],[ACA Number]],Table127163143556797103[NAT Number],Table127163143556797103[TT race points])</f>
        <v>189.13</v>
      </c>
      <c r="AJ9">
        <f>_xlfn.XLOOKUP(Table125181[[#This Row],[ACA Number]],Table127163143556797[NAT Number],Table127163143556797[TT race points])</f>
        <v>369.12</v>
      </c>
      <c r="AK9">
        <f>_xlfn.XLOOKUP(Table125181[[#This Row],[ACA Number]],Table1271631435567[NAT Number],Table1271631435567[TT race points])</f>
        <v>171.56</v>
      </c>
      <c r="AL9" cm="1">
        <f t="array" ref="AL9">_xlfn.LET(_xlpm.r,Table125181[[#This Row],[CM GS1]:[MF GS]],_xlpm.m,_xlfn.AGGREGATE(15,6,_xlpm.r/(_xlpm.r&lt;&gt;999.99),1),IFERROR(_xlpm.m,999.99))</f>
        <v>171.56</v>
      </c>
      <c r="AM9" cm="1">
        <f t="array" ref="AM9">_xlfn.LET(_xlpm.r,Table125181[[#This Row],[CM GS1]:[MF GS]],_xlpm.m,_xlfn.AGGREGATE(15,6,_xlpm.r/(_xlpm.r&lt;&gt;999.99),2),IFERROR(_xlpm.m,999.99))</f>
        <v>189.13</v>
      </c>
      <c r="AO9">
        <v>108671</v>
      </c>
      <c r="AP9" t="s">
        <v>790</v>
      </c>
      <c r="AQ9" t="s">
        <v>791</v>
      </c>
      <c r="AR9">
        <f>_xlfn.XLOOKUP(Table126182[[#This Row],[ACA Number]],Table121177[ACA Number],Table121177[Best 1 run SL race])</f>
        <v>276.68</v>
      </c>
      <c r="AS9">
        <f>_xlfn.XLOOKUP(Table126182[[#This Row],[ACA Number]],Table123179[ACA Number],Table123179[Best 1 Run])</f>
        <v>364.49</v>
      </c>
      <c r="AT9">
        <f>_xlfn.XLOOKUP(Table126182[[#This Row],[ACA Number]],Table124180[ACA Number],Table124180[Best result],)</f>
        <v>292.18</v>
      </c>
      <c r="AU9">
        <f>_xlfn.XLOOKUP(Table126182[[#This Row],[ACA Number]],Table124180[ACA Number],Table124180[2nd Best Result])</f>
        <v>328.3</v>
      </c>
      <c r="AV9">
        <f>_xlfn.XLOOKUP(Table126182[[#This Row],[ACA Number]],Table125181[ACA Number],Table125181[Best result])</f>
        <v>371.18</v>
      </c>
      <c r="AW9">
        <f>_xlfn.XLOOKUP(Table126182[[#This Row],[ACA Number]],Table125181[ACA Number],Table125181[2nd Best Result])</f>
        <v>999.99</v>
      </c>
      <c r="AX9">
        <f t="shared" si="0"/>
        <v>2632.82</v>
      </c>
      <c r="AY9">
        <f>_xlfn.RANK.EQ(Table126182[[#This Row],[Total Points]],Table126182[Total Points],1)</f>
        <v>9</v>
      </c>
    </row>
    <row r="10" spans="1:51" x14ac:dyDescent="0.3">
      <c r="A10">
        <v>116952</v>
      </c>
      <c r="B10" t="s">
        <v>798</v>
      </c>
      <c r="C10" t="s">
        <v>791</v>
      </c>
      <c r="D10">
        <f>_xlfn.XLOOKUP(Table121177[[#This Row],[ACA Number]],Table12[NAT Number],Table12[run 1 points])</f>
        <v>233.83</v>
      </c>
      <c r="E10">
        <f>_xlfn.XLOOKUP(Table121177[[#This Row],[ACA Number]],Table12[NAT Number],Table12[run 2 points])</f>
        <v>264.64</v>
      </c>
      <c r="F10">
        <f>_xlfn.XLOOKUP(Table121177[[#This Row],[ACA Number]],Table1225[NAT Number],Table1225[run 1 points])</f>
        <v>294.89</v>
      </c>
      <c r="G10">
        <f>_xlfn.XLOOKUP(Table121177[[#This Row],[ACA Number]],Table1225[NAT Number],Table1225[run 2 points])</f>
        <v>232.25</v>
      </c>
      <c r="H10" t="e">
        <f>_xlfn.XLOOKUP(Table121177[[#This Row],[ACA Number]],Table127163143556779[NAT Number],Table127163143556779[run 1 points])</f>
        <v>#N/A</v>
      </c>
      <c r="I10" t="e">
        <f>_xlfn.XLOOKUP(Table121177[[#This Row],[ACA Number]],Table127163143556779[NAT Number],Table127163143556779[run 2 points])</f>
        <v>#N/A</v>
      </c>
      <c r="J10" cm="1">
        <f t="array" ref="J10">_xlfn.LET(_xlpm.r,Table121177[[#This Row],[PM SL1 R1]:[MF SL1 R2]],_xlpm.m,_xlfn.AGGREGATE(15,6,_xlpm.r/(_xlpm.r&lt;&gt;999.99),1),IFERROR(_xlpm.m,999.99))</f>
        <v>232.25</v>
      </c>
      <c r="L10">
        <v>116952</v>
      </c>
      <c r="M10" t="s">
        <v>798</v>
      </c>
      <c r="N10" t="s">
        <v>791</v>
      </c>
      <c r="O10">
        <f>_xlfn.XLOOKUP(Table123179[[#This Row],[ACA Number]],Table127163143556797103[NAT Number],Table127163143556797103[run 1 points])</f>
        <v>99.3</v>
      </c>
      <c r="P10">
        <f>_xlfn.XLOOKUP(Table123179[[#This Row],[ACA Number]],Table127163143556797103[NAT Number],Table127163143556797103[run 2 points])</f>
        <v>162.26</v>
      </c>
      <c r="Q10">
        <f>_xlfn.XLOOKUP(Table123179[[#This Row],[ACA Number]],Table127163143556797[NAT Number],Table127163143556797[run 1 points])</f>
        <v>240.04</v>
      </c>
      <c r="R10">
        <f>_xlfn.XLOOKUP(Table123179[[#This Row],[ACA Number]],Table127163143556797[NAT Number],Table127163143556797[run 2 points])</f>
        <v>999.99</v>
      </c>
      <c r="S10" t="e">
        <f>_xlfn.XLOOKUP(Table123179[[#This Row],[ACA Number]],Table1271631435567[NAT Number],Table1271631435567[run 1 points])</f>
        <v>#N/A</v>
      </c>
      <c r="T10" t="e">
        <f>_xlfn.XLOOKUP(Table123179[[#This Row],[ACA Number]],Table1271631435567[NAT Number],Table1271631435567[run 2 points])</f>
        <v>#N/A</v>
      </c>
      <c r="U10" cm="1">
        <f t="array" ref="U10">_xlfn.LET(_xlpm.r,Table123179[[#This Row],[CM GS1 R1]:[MF GS R2]],_xlpm.m,_xlfn.AGGREGATE(15,6,_xlpm.r/(_xlpm.r&lt;&gt;999.99),1),IFERROR(_xlpm.m,999.99))</f>
        <v>99.3</v>
      </c>
      <c r="W10">
        <v>116952</v>
      </c>
      <c r="X10" t="s">
        <v>798</v>
      </c>
      <c r="Y10" t="s">
        <v>791</v>
      </c>
      <c r="Z10">
        <f>_xlfn.XLOOKUP(Table124180[[#This Row],[ACA Number]],Table12[NAT Number],Table12[TT race points])</f>
        <v>248.65</v>
      </c>
      <c r="AA10">
        <f>_xlfn.XLOOKUP(Table124180[[#This Row],[ACA Number]],Table1225[NAT Number],Table1225[TT race points])</f>
        <v>263.02999999999997</v>
      </c>
      <c r="AB10" t="e">
        <f>_xlfn.XLOOKUP(Table124180[[#This Row],[ACA Number]],Table127163143556779[NAT Number],Table127163143556779[TT race points])</f>
        <v>#N/A</v>
      </c>
      <c r="AC10" cm="1">
        <f t="array" ref="AC10">_xlfn.LET(_xlpm.r,Table124180[[#This Row],[PM SL1]:[MF SL]],_xlpm.m,_xlfn.AGGREGATE(15,6,_xlpm.r/(_xlpm.r&lt;&gt;999.99),1),IFERROR(_xlpm.m,999.99))</f>
        <v>248.65</v>
      </c>
      <c r="AD10" cm="1">
        <f t="array" ref="AD10">_xlfn.LET(_xlpm.r,Table124180[[#This Row],[PM SL1]:[MF SL]],_xlpm.m,_xlfn.AGGREGATE(15,6,_xlpm.r/(_xlpm.r&lt;&gt;999.99),2),IFERROR(_xlpm.m,999.99))</f>
        <v>263.02999999999997</v>
      </c>
      <c r="AF10">
        <v>116952</v>
      </c>
      <c r="AG10" t="s">
        <v>798</v>
      </c>
      <c r="AH10" t="s">
        <v>791</v>
      </c>
      <c r="AI10">
        <f>_xlfn.XLOOKUP(Table125181[[#This Row],[ACA Number]],Table127163143556797103[NAT Number],Table127163143556797103[TT race points])</f>
        <v>92.01</v>
      </c>
      <c r="AJ10">
        <f>_xlfn.XLOOKUP(Table125181[[#This Row],[ACA Number]],Table127163143556797[NAT Number],Table127163143556797[TT race points])</f>
        <v>999.99</v>
      </c>
      <c r="AK10" t="e">
        <f>_xlfn.XLOOKUP(Table125181[[#This Row],[ACA Number]],Table1271631435567[NAT Number],Table1271631435567[TT race points])</f>
        <v>#N/A</v>
      </c>
      <c r="AL10" cm="1">
        <f t="array" ref="AL10">_xlfn.LET(_xlpm.r,Table125181[[#This Row],[CM GS1]:[MF GS]],_xlpm.m,_xlfn.AGGREGATE(15,6,_xlpm.r/(_xlpm.r&lt;&gt;999.99),1),IFERROR(_xlpm.m,999.99))</f>
        <v>92.01</v>
      </c>
      <c r="AM10" cm="1">
        <f t="array" ref="AM10">_xlfn.LET(_xlpm.r,Table125181[[#This Row],[CM GS1]:[MF GS]],_xlpm.m,_xlfn.AGGREGATE(15,6,_xlpm.r/(_xlpm.r&lt;&gt;999.99),2),IFERROR(_xlpm.m,999.99))</f>
        <v>999.99</v>
      </c>
      <c r="AO10">
        <v>120667</v>
      </c>
      <c r="AP10" t="s">
        <v>796</v>
      </c>
      <c r="AQ10" t="s">
        <v>791</v>
      </c>
      <c r="AR10">
        <f>_xlfn.XLOOKUP(Table126182[[#This Row],[ACA Number]],Table121177[ACA Number],Table121177[Best 1 run SL race])</f>
        <v>161.41999999999999</v>
      </c>
      <c r="AS10">
        <f>_xlfn.XLOOKUP(Table126182[[#This Row],[ACA Number]],Table123179[ACA Number],Table123179[Best 1 Run])</f>
        <v>138.63999999999999</v>
      </c>
      <c r="AT10">
        <f>_xlfn.XLOOKUP(Table126182[[#This Row],[ACA Number]],Table124180[ACA Number],Table124180[Best result],)</f>
        <v>157.66999999999999</v>
      </c>
      <c r="AU10">
        <f>_xlfn.XLOOKUP(Table126182[[#This Row],[ACA Number]],Table124180[ACA Number],Table124180[2nd Best Result])</f>
        <v>331.6</v>
      </c>
      <c r="AV10">
        <f>_xlfn.XLOOKUP(Table126182[[#This Row],[ACA Number]],Table125181[ACA Number],Table125181[Best result])</f>
        <v>166.52</v>
      </c>
      <c r="AW10">
        <f>_xlfn.XLOOKUP(Table126182[[#This Row],[ACA Number]],Table125181[ACA Number],Table125181[2nd Best Result])</f>
        <v>999.99</v>
      </c>
      <c r="AX10">
        <f t="shared" si="0"/>
        <v>1955.84</v>
      </c>
      <c r="AY10">
        <f>_xlfn.RANK.EQ(Table126182[[#This Row],[Total Points]],Table126182[Total Points],1)</f>
        <v>6</v>
      </c>
    </row>
    <row r="11" spans="1:51" x14ac:dyDescent="0.3">
      <c r="A11">
        <v>120668</v>
      </c>
      <c r="B11" t="s">
        <v>799</v>
      </c>
      <c r="C11" t="s">
        <v>791</v>
      </c>
      <c r="D11" t="e">
        <f>_xlfn.XLOOKUP(Table121177[[#This Row],[ACA Number]],Table12[NAT Number],Table12[run 1 points])</f>
        <v>#N/A</v>
      </c>
      <c r="E11" t="e">
        <f>_xlfn.XLOOKUP(Table121177[[#This Row],[ACA Number]],Table12[NAT Number],Table12[run 2 points])</f>
        <v>#N/A</v>
      </c>
      <c r="F11" t="e">
        <f>_xlfn.XLOOKUP(Table121177[[#This Row],[ACA Number]],Table1225[NAT Number],Table1225[run 1 points])</f>
        <v>#N/A</v>
      </c>
      <c r="G11" t="e">
        <f>_xlfn.XLOOKUP(Table121177[[#This Row],[ACA Number]],Table1225[NAT Number],Table1225[run 2 points])</f>
        <v>#N/A</v>
      </c>
      <c r="H11">
        <f>_xlfn.XLOOKUP(Table121177[[#This Row],[ACA Number]],Table127163143556779[NAT Number],Table127163143556779[run 1 points])</f>
        <v>275.11</v>
      </c>
      <c r="I11">
        <f>_xlfn.XLOOKUP(Table121177[[#This Row],[ACA Number]],Table127163143556779[NAT Number],Table127163143556779[run 2 points])</f>
        <v>240.78</v>
      </c>
      <c r="J11" cm="1">
        <f t="array" ref="J11">_xlfn.LET(_xlpm.r,Table121177[[#This Row],[PM SL1 R1]:[MF SL1 R2]],_xlpm.m,_xlfn.AGGREGATE(15,6,_xlpm.r/(_xlpm.r&lt;&gt;999.99),1),IFERROR(_xlpm.m,999.99))</f>
        <v>240.78</v>
      </c>
      <c r="L11">
        <v>120668</v>
      </c>
      <c r="M11" t="s">
        <v>799</v>
      </c>
      <c r="N11" t="s">
        <v>791</v>
      </c>
      <c r="O11">
        <f>_xlfn.XLOOKUP(Table123179[[#This Row],[ACA Number]],Table127163143556797103[NAT Number],Table127163143556797103[run 1 points])</f>
        <v>359.67</v>
      </c>
      <c r="P11">
        <f>_xlfn.XLOOKUP(Table123179[[#This Row],[ACA Number]],Table127163143556797103[NAT Number],Table127163143556797103[run 2 points])</f>
        <v>999.99</v>
      </c>
      <c r="Q11">
        <f>_xlfn.XLOOKUP(Table123179[[#This Row],[ACA Number]],Table127163143556797[NAT Number],Table127163143556797[run 1 points])</f>
        <v>566.91999999999996</v>
      </c>
      <c r="R11">
        <f>_xlfn.XLOOKUP(Table123179[[#This Row],[ACA Number]],Table127163143556797[NAT Number],Table127163143556797[run 2 points])</f>
        <v>999.99</v>
      </c>
      <c r="S11">
        <f>_xlfn.XLOOKUP(Table123179[[#This Row],[ACA Number]],Table1271631435567[NAT Number],Table1271631435567[run 1 points])</f>
        <v>278.58999999999997</v>
      </c>
      <c r="T11">
        <f>_xlfn.XLOOKUP(Table123179[[#This Row],[ACA Number]],Table1271631435567[NAT Number],Table1271631435567[run 2 points])</f>
        <v>232.34</v>
      </c>
      <c r="U11" cm="1">
        <f t="array" ref="U11">_xlfn.LET(_xlpm.r,Table123179[[#This Row],[CM GS1 R1]:[MF GS R2]],_xlpm.m,_xlfn.AGGREGATE(15,6,_xlpm.r/(_xlpm.r&lt;&gt;999.99),1),IFERROR(_xlpm.m,999.99))</f>
        <v>232.34</v>
      </c>
      <c r="W11">
        <v>120668</v>
      </c>
      <c r="X11" t="s">
        <v>799</v>
      </c>
      <c r="Y11" t="s">
        <v>791</v>
      </c>
      <c r="Z11" t="e">
        <f>_xlfn.XLOOKUP(Table124180[[#This Row],[ACA Number]],Table12[NAT Number],Table12[TT race points])</f>
        <v>#N/A</v>
      </c>
      <c r="AA11" t="e">
        <f>_xlfn.XLOOKUP(Table124180[[#This Row],[ACA Number]],Table1225[NAT Number],Table1225[TT race points])</f>
        <v>#N/A</v>
      </c>
      <c r="AB11">
        <f>_xlfn.XLOOKUP(Table124180[[#This Row],[ACA Number]],Table127163143556779[NAT Number],Table127163143556779[TT race points])</f>
        <v>252.84</v>
      </c>
      <c r="AC11" cm="1">
        <f t="array" ref="AC11">_xlfn.LET(_xlpm.r,Table124180[[#This Row],[PM SL1]:[MF SL]],_xlpm.m,_xlfn.AGGREGATE(15,6,_xlpm.r/(_xlpm.r&lt;&gt;999.99),1),IFERROR(_xlpm.m,999.99))</f>
        <v>252.84</v>
      </c>
      <c r="AD11" cm="1">
        <f t="array" ref="AD11">_xlfn.LET(_xlpm.r,Table124180[[#This Row],[PM SL1]:[MF SL]],_xlpm.m,_xlfn.AGGREGATE(15,6,_xlpm.r/(_xlpm.r&lt;&gt;999.99),2),IFERROR(_xlpm.m,999.99))</f>
        <v>999.99</v>
      </c>
      <c r="AF11">
        <v>120668</v>
      </c>
      <c r="AG11" t="s">
        <v>799</v>
      </c>
      <c r="AH11" t="s">
        <v>791</v>
      </c>
      <c r="AI11">
        <f>_xlfn.XLOOKUP(Table125181[[#This Row],[ACA Number]],Table127163143556797103[NAT Number],Table127163143556797103[TT race points])</f>
        <v>999.99</v>
      </c>
      <c r="AJ11">
        <f>_xlfn.XLOOKUP(Table125181[[#This Row],[ACA Number]],Table127163143556797[NAT Number],Table127163143556797[TT race points])</f>
        <v>999.99</v>
      </c>
      <c r="AK11">
        <f>_xlfn.XLOOKUP(Table125181[[#This Row],[ACA Number]],Table1271631435567[NAT Number],Table1271631435567[TT race points])</f>
        <v>255.33</v>
      </c>
      <c r="AL11" cm="1">
        <f t="array" ref="AL11">_xlfn.LET(_xlpm.r,Table125181[[#This Row],[CM GS1]:[MF GS]],_xlpm.m,_xlfn.AGGREGATE(15,6,_xlpm.r/(_xlpm.r&lt;&gt;999.99),1),IFERROR(_xlpm.m,999.99))</f>
        <v>255.33</v>
      </c>
      <c r="AM11" cm="1">
        <f t="array" ref="AM11">_xlfn.LET(_xlpm.r,Table125181[[#This Row],[CM GS1]:[MF GS]],_xlpm.m,_xlfn.AGGREGATE(15,6,_xlpm.r/(_xlpm.r&lt;&gt;999.99),2),IFERROR(_xlpm.m,999.99))</f>
        <v>999.99</v>
      </c>
      <c r="AO11">
        <v>114606</v>
      </c>
      <c r="AP11" t="s">
        <v>802</v>
      </c>
      <c r="AQ11" t="s">
        <v>791</v>
      </c>
      <c r="AR11">
        <f>_xlfn.XLOOKUP(Table126182[[#This Row],[ACA Number]],Table121177[ACA Number],Table121177[Best 1 run SL race])</f>
        <v>267.70999999999998</v>
      </c>
      <c r="AS11">
        <f>_xlfn.XLOOKUP(Table126182[[#This Row],[ACA Number]],Table123179[ACA Number],Table123179[Best 1 Run])</f>
        <v>253.62</v>
      </c>
      <c r="AT11">
        <f>_xlfn.XLOOKUP(Table126182[[#This Row],[ACA Number]],Table124180[ACA Number],Table124180[Best result],)</f>
        <v>267.68</v>
      </c>
      <c r="AU11">
        <f>_xlfn.XLOOKUP(Table126182[[#This Row],[ACA Number]],Table124180[ACA Number],Table124180[2nd Best Result])</f>
        <v>380.64</v>
      </c>
      <c r="AV11">
        <f>_xlfn.XLOOKUP(Table126182[[#This Row],[ACA Number]],Table125181[ACA Number],Table125181[Best result])</f>
        <v>264</v>
      </c>
      <c r="AW11">
        <f>_xlfn.XLOOKUP(Table126182[[#This Row],[ACA Number]],Table125181[ACA Number],Table125181[2nd Best Result])</f>
        <v>999.99</v>
      </c>
      <c r="AX11">
        <f t="shared" si="0"/>
        <v>2433.6400000000003</v>
      </c>
      <c r="AY11">
        <f>_xlfn.RANK.EQ(Table126182[[#This Row],[Total Points]],Table126182[Total Points],1)</f>
        <v>8</v>
      </c>
    </row>
    <row r="12" spans="1:51" x14ac:dyDescent="0.3">
      <c r="A12">
        <v>123279</v>
      </c>
      <c r="B12" t="s">
        <v>800</v>
      </c>
      <c r="C12" t="s">
        <v>791</v>
      </c>
      <c r="D12" t="e">
        <f>_xlfn.XLOOKUP(Table121177[[#This Row],[ACA Number]],Table12[NAT Number],Table12[run 1 points])</f>
        <v>#N/A</v>
      </c>
      <c r="E12" t="e">
        <f>_xlfn.XLOOKUP(Table121177[[#This Row],[ACA Number]],Table12[NAT Number],Table12[run 2 points])</f>
        <v>#N/A</v>
      </c>
      <c r="F12" t="e">
        <f>_xlfn.XLOOKUP(Table121177[[#This Row],[ACA Number]],Table1225[NAT Number],Table1225[run 1 points])</f>
        <v>#N/A</v>
      </c>
      <c r="G12" t="e">
        <f>_xlfn.XLOOKUP(Table121177[[#This Row],[ACA Number]],Table1225[NAT Number],Table1225[run 2 points])</f>
        <v>#N/A</v>
      </c>
      <c r="H12" t="e">
        <f>_xlfn.XLOOKUP(Table121177[[#This Row],[ACA Number]],Table127163143556779[NAT Number],Table127163143556779[run 1 points])</f>
        <v>#N/A</v>
      </c>
      <c r="I12" t="e">
        <f>_xlfn.XLOOKUP(Table121177[[#This Row],[ACA Number]],Table127163143556779[NAT Number],Table127163143556779[run 2 points])</f>
        <v>#N/A</v>
      </c>
      <c r="J12" cm="1">
        <f t="array" ref="J12">_xlfn.LET(_xlpm.r,Table121177[[#This Row],[PM SL1 R1]:[MF SL1 R2]],_xlpm.m,_xlfn.AGGREGATE(15,6,_xlpm.r/(_xlpm.r&lt;&gt;999.99),1),IFERROR(_xlpm.m,999.99))</f>
        <v>999.99</v>
      </c>
      <c r="L12">
        <v>123279</v>
      </c>
      <c r="M12" t="s">
        <v>800</v>
      </c>
      <c r="N12" t="s">
        <v>791</v>
      </c>
      <c r="O12" t="e">
        <f>_xlfn.XLOOKUP(Table123179[[#This Row],[ACA Number]],Table127163143556797103[NAT Number],Table127163143556797103[run 1 points])</f>
        <v>#N/A</v>
      </c>
      <c r="P12" t="e">
        <f>_xlfn.XLOOKUP(Table123179[[#This Row],[ACA Number]],Table127163143556797103[NAT Number],Table127163143556797103[run 2 points])</f>
        <v>#N/A</v>
      </c>
      <c r="Q12" t="e">
        <f>_xlfn.XLOOKUP(Table123179[[#This Row],[ACA Number]],Table127163143556797[NAT Number],Table127163143556797[run 1 points])</f>
        <v>#N/A</v>
      </c>
      <c r="R12" t="e">
        <f>_xlfn.XLOOKUP(Table123179[[#This Row],[ACA Number]],Table127163143556797[NAT Number],Table127163143556797[run 2 points])</f>
        <v>#N/A</v>
      </c>
      <c r="S12" t="e">
        <f>_xlfn.XLOOKUP(Table123179[[#This Row],[ACA Number]],Table1271631435567[NAT Number],Table1271631435567[run 1 points])</f>
        <v>#N/A</v>
      </c>
      <c r="T12" t="e">
        <f>_xlfn.XLOOKUP(Table123179[[#This Row],[ACA Number]],Table1271631435567[NAT Number],Table1271631435567[run 2 points])</f>
        <v>#N/A</v>
      </c>
      <c r="U12" cm="1">
        <f t="array" ref="U12">_xlfn.LET(_xlpm.r,Table123179[[#This Row],[CM GS1 R1]:[MF GS R2]],_xlpm.m,_xlfn.AGGREGATE(15,6,_xlpm.r/(_xlpm.r&lt;&gt;999.99),1),IFERROR(_xlpm.m,999.99))</f>
        <v>999.99</v>
      </c>
      <c r="W12">
        <v>123279</v>
      </c>
      <c r="X12" t="s">
        <v>800</v>
      </c>
      <c r="Y12" t="s">
        <v>791</v>
      </c>
      <c r="Z12" t="e">
        <f>_xlfn.XLOOKUP(Table124180[[#This Row],[ACA Number]],Table12[NAT Number],Table12[TT race points])</f>
        <v>#N/A</v>
      </c>
      <c r="AA12" t="e">
        <f>_xlfn.XLOOKUP(Table124180[[#This Row],[ACA Number]],Table1225[NAT Number],Table1225[TT race points])</f>
        <v>#N/A</v>
      </c>
      <c r="AB12" t="e">
        <f>_xlfn.XLOOKUP(Table124180[[#This Row],[ACA Number]],Table127163143556779[NAT Number],Table127163143556779[TT race points])</f>
        <v>#N/A</v>
      </c>
      <c r="AC12" cm="1">
        <f t="array" ref="AC12">_xlfn.LET(_xlpm.r,Table124180[[#This Row],[PM SL1]:[MF SL]],_xlpm.m,_xlfn.AGGREGATE(15,6,_xlpm.r/(_xlpm.r&lt;&gt;999.99),1),IFERROR(_xlpm.m,999.99))</f>
        <v>999.99</v>
      </c>
      <c r="AD12" cm="1">
        <f t="array" ref="AD12">_xlfn.LET(_xlpm.r,Table124180[[#This Row],[PM SL1]:[MF SL]],_xlpm.m,_xlfn.AGGREGATE(15,6,_xlpm.r/(_xlpm.r&lt;&gt;999.99),2),IFERROR(_xlpm.m,999.99))</f>
        <v>999.99</v>
      </c>
      <c r="AF12">
        <v>123279</v>
      </c>
      <c r="AG12" t="s">
        <v>800</v>
      </c>
      <c r="AH12" t="s">
        <v>791</v>
      </c>
      <c r="AI12" t="e">
        <f>_xlfn.XLOOKUP(Table125181[[#This Row],[ACA Number]],Table127163143556797103[NAT Number],Table127163143556797103[TT race points])</f>
        <v>#N/A</v>
      </c>
      <c r="AJ12" t="e">
        <f>_xlfn.XLOOKUP(Table125181[[#This Row],[ACA Number]],Table127163143556797[NAT Number],Table127163143556797[TT race points])</f>
        <v>#N/A</v>
      </c>
      <c r="AK12" t="e">
        <f>_xlfn.XLOOKUP(Table125181[[#This Row],[ACA Number]],Table1271631435567[NAT Number],Table1271631435567[TT race points])</f>
        <v>#N/A</v>
      </c>
      <c r="AL12" cm="1">
        <f t="array" ref="AL12">_xlfn.LET(_xlpm.r,Table125181[[#This Row],[CM GS1]:[MF GS]],_xlpm.m,_xlfn.AGGREGATE(15,6,_xlpm.r/(_xlpm.r&lt;&gt;999.99),1),IFERROR(_xlpm.m,999.99))</f>
        <v>999.99</v>
      </c>
      <c r="AM12" cm="1">
        <f t="array" ref="AM12">_xlfn.LET(_xlpm.r,Table125181[[#This Row],[CM GS1]:[MF GS]],_xlpm.m,_xlfn.AGGREGATE(15,6,_xlpm.r/(_xlpm.r&lt;&gt;999.99),2),IFERROR(_xlpm.m,999.99))</f>
        <v>999.99</v>
      </c>
      <c r="AO12">
        <v>112415</v>
      </c>
      <c r="AP12" t="s">
        <v>804</v>
      </c>
      <c r="AQ12" t="s">
        <v>791</v>
      </c>
      <c r="AR12">
        <f>_xlfn.XLOOKUP(Table126182[[#This Row],[ACA Number]],Table121177[ACA Number],Table121177[Best 1 run SL race])</f>
        <v>564.28</v>
      </c>
      <c r="AS12">
        <f>_xlfn.XLOOKUP(Table126182[[#This Row],[ACA Number]],Table123179[ACA Number],Table123179[Best 1 Run])</f>
        <v>999.99</v>
      </c>
      <c r="AT12">
        <f>_xlfn.XLOOKUP(Table126182[[#This Row],[ACA Number]],Table124180[ACA Number],Table124180[Best result],)</f>
        <v>564.05999999999995</v>
      </c>
      <c r="AU12">
        <f>_xlfn.XLOOKUP(Table126182[[#This Row],[ACA Number]],Table124180[ACA Number],Table124180[2nd Best Result])</f>
        <v>625.9</v>
      </c>
      <c r="AV12">
        <f>_xlfn.XLOOKUP(Table126182[[#This Row],[ACA Number]],Table125181[ACA Number],Table125181[Best result])</f>
        <v>999.99</v>
      </c>
      <c r="AW12">
        <f>_xlfn.XLOOKUP(Table126182[[#This Row],[ACA Number]],Table125181[ACA Number],Table125181[2nd Best Result])</f>
        <v>999.99</v>
      </c>
      <c r="AX12">
        <f t="shared" si="0"/>
        <v>4754.21</v>
      </c>
      <c r="AY12">
        <f>_xlfn.RANK.EQ(Table126182[[#This Row],[Total Points]],Table126182[Total Points],1)</f>
        <v>14</v>
      </c>
    </row>
    <row r="13" spans="1:51" x14ac:dyDescent="0.3">
      <c r="A13">
        <v>110444</v>
      </c>
      <c r="B13" t="s">
        <v>801</v>
      </c>
      <c r="C13" t="s">
        <v>791</v>
      </c>
      <c r="D13" t="e">
        <f>_xlfn.XLOOKUP(Table121177[[#This Row],[ACA Number]],Table12[NAT Number],Table12[run 1 points])</f>
        <v>#N/A</v>
      </c>
      <c r="E13" t="e">
        <f>_xlfn.XLOOKUP(Table121177[[#This Row],[ACA Number]],Table12[NAT Number],Table12[run 2 points])</f>
        <v>#N/A</v>
      </c>
      <c r="F13" t="e">
        <f>_xlfn.XLOOKUP(Table121177[[#This Row],[ACA Number]],Table1225[NAT Number],Table1225[run 1 points])</f>
        <v>#N/A</v>
      </c>
      <c r="G13" t="e">
        <f>_xlfn.XLOOKUP(Table121177[[#This Row],[ACA Number]],Table1225[NAT Number],Table1225[run 2 points])</f>
        <v>#N/A</v>
      </c>
      <c r="H13" t="e">
        <f>_xlfn.XLOOKUP(Table121177[[#This Row],[ACA Number]],Table127163143556779[NAT Number],Table127163143556779[run 1 points])</f>
        <v>#N/A</v>
      </c>
      <c r="I13" t="e">
        <f>_xlfn.XLOOKUP(Table121177[[#This Row],[ACA Number]],Table127163143556779[NAT Number],Table127163143556779[run 2 points])</f>
        <v>#N/A</v>
      </c>
      <c r="J13" cm="1">
        <f t="array" ref="J13">_xlfn.LET(_xlpm.r,Table121177[[#This Row],[PM SL1 R1]:[MF SL1 R2]],_xlpm.m,_xlfn.AGGREGATE(15,6,_xlpm.r/(_xlpm.r&lt;&gt;999.99),1),IFERROR(_xlpm.m,999.99))</f>
        <v>999.99</v>
      </c>
      <c r="L13">
        <v>110444</v>
      </c>
      <c r="M13" t="s">
        <v>801</v>
      </c>
      <c r="N13" t="s">
        <v>791</v>
      </c>
      <c r="O13" t="e">
        <f>_xlfn.XLOOKUP(Table123179[[#This Row],[ACA Number]],Table127163143556797103[NAT Number],Table127163143556797103[run 1 points])</f>
        <v>#N/A</v>
      </c>
      <c r="P13" t="e">
        <f>_xlfn.XLOOKUP(Table123179[[#This Row],[ACA Number]],Table127163143556797103[NAT Number],Table127163143556797103[run 2 points])</f>
        <v>#N/A</v>
      </c>
      <c r="Q13" t="e">
        <f>_xlfn.XLOOKUP(Table123179[[#This Row],[ACA Number]],Table127163143556797[NAT Number],Table127163143556797[run 1 points])</f>
        <v>#N/A</v>
      </c>
      <c r="R13" t="e">
        <f>_xlfn.XLOOKUP(Table123179[[#This Row],[ACA Number]],Table127163143556797[NAT Number],Table127163143556797[run 2 points])</f>
        <v>#N/A</v>
      </c>
      <c r="S13" t="e">
        <f>_xlfn.XLOOKUP(Table123179[[#This Row],[ACA Number]],Table1271631435567[NAT Number],Table1271631435567[run 1 points])</f>
        <v>#N/A</v>
      </c>
      <c r="T13" t="e">
        <f>_xlfn.XLOOKUP(Table123179[[#This Row],[ACA Number]],Table1271631435567[NAT Number],Table1271631435567[run 2 points])</f>
        <v>#N/A</v>
      </c>
      <c r="U13" cm="1">
        <f t="array" ref="U13">_xlfn.LET(_xlpm.r,Table123179[[#This Row],[CM GS1 R1]:[MF GS R2]],_xlpm.m,_xlfn.AGGREGATE(15,6,_xlpm.r/(_xlpm.r&lt;&gt;999.99),1),IFERROR(_xlpm.m,999.99))</f>
        <v>999.99</v>
      </c>
      <c r="W13">
        <v>110444</v>
      </c>
      <c r="X13" t="s">
        <v>801</v>
      </c>
      <c r="Y13" t="s">
        <v>791</v>
      </c>
      <c r="Z13" t="e">
        <f>_xlfn.XLOOKUP(Table124180[[#This Row],[ACA Number]],Table12[NAT Number],Table12[TT race points])</f>
        <v>#N/A</v>
      </c>
      <c r="AA13" t="e">
        <f>_xlfn.XLOOKUP(Table124180[[#This Row],[ACA Number]],Table1225[NAT Number],Table1225[TT race points])</f>
        <v>#N/A</v>
      </c>
      <c r="AB13" t="e">
        <f>_xlfn.XLOOKUP(Table124180[[#This Row],[ACA Number]],Table127163143556779[NAT Number],Table127163143556779[TT race points])</f>
        <v>#N/A</v>
      </c>
      <c r="AC13" cm="1">
        <f t="array" ref="AC13">_xlfn.LET(_xlpm.r,Table124180[[#This Row],[PM SL1]:[MF SL]],_xlpm.m,_xlfn.AGGREGATE(15,6,_xlpm.r/(_xlpm.r&lt;&gt;999.99),1),IFERROR(_xlpm.m,999.99))</f>
        <v>999.99</v>
      </c>
      <c r="AD13" cm="1">
        <f t="array" ref="AD13">_xlfn.LET(_xlpm.r,Table124180[[#This Row],[PM SL1]:[MF SL]],_xlpm.m,_xlfn.AGGREGATE(15,6,_xlpm.r/(_xlpm.r&lt;&gt;999.99),2),IFERROR(_xlpm.m,999.99))</f>
        <v>999.99</v>
      </c>
      <c r="AF13">
        <v>110444</v>
      </c>
      <c r="AG13" t="s">
        <v>801</v>
      </c>
      <c r="AH13" t="s">
        <v>791</v>
      </c>
      <c r="AI13" t="e">
        <f>_xlfn.XLOOKUP(Table125181[[#This Row],[ACA Number]],Table127163143556797103[NAT Number],Table127163143556797103[TT race points])</f>
        <v>#N/A</v>
      </c>
      <c r="AJ13" t="e">
        <f>_xlfn.XLOOKUP(Table125181[[#This Row],[ACA Number]],Table127163143556797[NAT Number],Table127163143556797[TT race points])</f>
        <v>#N/A</v>
      </c>
      <c r="AK13" t="e">
        <f>_xlfn.XLOOKUP(Table125181[[#This Row],[ACA Number]],Table1271631435567[NAT Number],Table1271631435567[TT race points])</f>
        <v>#N/A</v>
      </c>
      <c r="AL13" cm="1">
        <f t="array" ref="AL13">_xlfn.LET(_xlpm.r,Table125181[[#This Row],[CM GS1]:[MF GS]],_xlpm.m,_xlfn.AGGREGATE(15,6,_xlpm.r/(_xlpm.r&lt;&gt;999.99),1),IFERROR(_xlpm.m,999.99))</f>
        <v>999.99</v>
      </c>
      <c r="AM13" cm="1">
        <f t="array" ref="AM13">_xlfn.LET(_xlpm.r,Table125181[[#This Row],[CM GS1]:[MF GS]],_xlpm.m,_xlfn.AGGREGATE(15,6,_xlpm.r/(_xlpm.r&lt;&gt;999.99),2),IFERROR(_xlpm.m,999.99))</f>
        <v>999.99</v>
      </c>
      <c r="AO13">
        <v>109934</v>
      </c>
      <c r="AP13" t="s">
        <v>792</v>
      </c>
      <c r="AQ13" t="s">
        <v>791</v>
      </c>
      <c r="AR13">
        <f>_xlfn.XLOOKUP(Table126182[[#This Row],[ACA Number]],Table121177[ACA Number],Table121177[Best 1 run SL race])</f>
        <v>292.41000000000003</v>
      </c>
      <c r="AS13">
        <f>_xlfn.XLOOKUP(Table126182[[#This Row],[ACA Number]],Table123179[ACA Number],Table123179[Best 1 Run])</f>
        <v>329.85</v>
      </c>
      <c r="AT13">
        <f>_xlfn.XLOOKUP(Table126182[[#This Row],[ACA Number]],Table124180[ACA Number],Table124180[Best result],)</f>
        <v>292.18</v>
      </c>
      <c r="AU13">
        <f>_xlfn.XLOOKUP(Table126182[[#This Row],[ACA Number]],Table124180[ACA Number],Table124180[2nd Best Result])</f>
        <v>502.27</v>
      </c>
      <c r="AV13">
        <f>_xlfn.XLOOKUP(Table126182[[#This Row],[ACA Number]],Table125181[ACA Number],Table125181[Best result])</f>
        <v>339.49</v>
      </c>
      <c r="AW13">
        <f>_xlfn.XLOOKUP(Table126182[[#This Row],[ACA Number]],Table125181[ACA Number],Table125181[2nd Best Result])</f>
        <v>999.99</v>
      </c>
      <c r="AX13">
        <f t="shared" si="0"/>
        <v>2756.19</v>
      </c>
      <c r="AY13">
        <f>_xlfn.RANK.EQ(Table126182[[#This Row],[Total Points]],Table126182[Total Points],1)</f>
        <v>10</v>
      </c>
    </row>
    <row r="14" spans="1:51" x14ac:dyDescent="0.3">
      <c r="A14">
        <v>114606</v>
      </c>
      <c r="B14" t="s">
        <v>802</v>
      </c>
      <c r="C14" t="s">
        <v>791</v>
      </c>
      <c r="D14">
        <f>_xlfn.XLOOKUP(Table121177[[#This Row],[ACA Number]],Table12[NAT Number],Table12[run 1 points])</f>
        <v>999.99</v>
      </c>
      <c r="E14">
        <f>_xlfn.XLOOKUP(Table121177[[#This Row],[ACA Number]],Table12[NAT Number],Table12[run 2 points])</f>
        <v>320.85000000000002</v>
      </c>
      <c r="F14">
        <f>_xlfn.XLOOKUP(Table121177[[#This Row],[ACA Number]],Table1225[NAT Number],Table1225[run 1 points])</f>
        <v>392.19</v>
      </c>
      <c r="G14">
        <f>_xlfn.XLOOKUP(Table121177[[#This Row],[ACA Number]],Table1225[NAT Number],Table1225[run 2 points])</f>
        <v>369.48</v>
      </c>
      <c r="H14">
        <f>_xlfn.XLOOKUP(Table121177[[#This Row],[ACA Number]],Table127163143556779[NAT Number],Table127163143556779[run 1 points])</f>
        <v>276.68</v>
      </c>
      <c r="I14">
        <f>_xlfn.XLOOKUP(Table121177[[#This Row],[ACA Number]],Table127163143556779[NAT Number],Table127163143556779[run 2 points])</f>
        <v>267.70999999999998</v>
      </c>
      <c r="J14" cm="1">
        <f t="array" ref="J14">_xlfn.LET(_xlpm.r,Table121177[[#This Row],[PM SL1 R1]:[MF SL1 R2]],_xlpm.m,_xlfn.AGGREGATE(15,6,_xlpm.r/(_xlpm.r&lt;&gt;999.99),1),IFERROR(_xlpm.m,999.99))</f>
        <v>267.70999999999998</v>
      </c>
      <c r="L14">
        <v>114606</v>
      </c>
      <c r="M14" t="s">
        <v>802</v>
      </c>
      <c r="N14" t="s">
        <v>791</v>
      </c>
      <c r="O14" t="e">
        <f>_xlfn.XLOOKUP(Table123179[[#This Row],[ACA Number]],Table127163143556797103[NAT Number],Table127163143556797103[run 1 points])</f>
        <v>#N/A</v>
      </c>
      <c r="P14" t="e">
        <f>_xlfn.XLOOKUP(Table123179[[#This Row],[ACA Number]],Table127163143556797103[NAT Number],Table127163143556797103[run 2 points])</f>
        <v>#N/A</v>
      </c>
      <c r="Q14" t="e">
        <f>_xlfn.XLOOKUP(Table123179[[#This Row],[ACA Number]],Table127163143556797[NAT Number],Table127163143556797[run 1 points])</f>
        <v>#N/A</v>
      </c>
      <c r="R14" t="e">
        <f>_xlfn.XLOOKUP(Table123179[[#This Row],[ACA Number]],Table127163143556797[NAT Number],Table127163143556797[run 2 points])</f>
        <v>#N/A</v>
      </c>
      <c r="S14">
        <f>_xlfn.XLOOKUP(Table123179[[#This Row],[ACA Number]],Table1271631435567[NAT Number],Table1271631435567[run 1 points])</f>
        <v>253.62</v>
      </c>
      <c r="T14">
        <f>_xlfn.XLOOKUP(Table123179[[#This Row],[ACA Number]],Table1271631435567[NAT Number],Table1271631435567[run 2 points])</f>
        <v>274.27</v>
      </c>
      <c r="U14" cm="1">
        <f t="array" ref="U14">_xlfn.LET(_xlpm.r,Table123179[[#This Row],[CM GS1 R1]:[MF GS R2]],_xlpm.m,_xlfn.AGGREGATE(15,6,_xlpm.r/(_xlpm.r&lt;&gt;999.99),1),IFERROR(_xlpm.m,999.99))</f>
        <v>253.62</v>
      </c>
      <c r="W14">
        <v>114606</v>
      </c>
      <c r="X14" t="s">
        <v>802</v>
      </c>
      <c r="Y14" t="s">
        <v>791</v>
      </c>
      <c r="Z14">
        <f>_xlfn.XLOOKUP(Table124180[[#This Row],[ACA Number]],Table12[NAT Number],Table12[TT race points])</f>
        <v>999.99</v>
      </c>
      <c r="AA14">
        <f>_xlfn.XLOOKUP(Table124180[[#This Row],[ACA Number]],Table1225[NAT Number],Table1225[TT race points])</f>
        <v>380.64</v>
      </c>
      <c r="AB14">
        <f>_xlfn.XLOOKUP(Table124180[[#This Row],[ACA Number]],Table127163143556779[NAT Number],Table127163143556779[TT race points])</f>
        <v>267.68</v>
      </c>
      <c r="AC14" cm="1">
        <f t="array" ref="AC14">_xlfn.LET(_xlpm.r,Table124180[[#This Row],[PM SL1]:[MF SL]],_xlpm.m,_xlfn.AGGREGATE(15,6,_xlpm.r/(_xlpm.r&lt;&gt;999.99),1),IFERROR(_xlpm.m,999.99))</f>
        <v>267.68</v>
      </c>
      <c r="AD14" cm="1">
        <f t="array" ref="AD14">_xlfn.LET(_xlpm.r,Table124180[[#This Row],[PM SL1]:[MF SL]],_xlpm.m,_xlfn.AGGREGATE(15,6,_xlpm.r/(_xlpm.r&lt;&gt;999.99),2),IFERROR(_xlpm.m,999.99))</f>
        <v>380.64</v>
      </c>
      <c r="AF14">
        <v>114606</v>
      </c>
      <c r="AG14" t="s">
        <v>802</v>
      </c>
      <c r="AH14" t="s">
        <v>791</v>
      </c>
      <c r="AI14" t="e">
        <f>_xlfn.XLOOKUP(Table125181[[#This Row],[ACA Number]],Table127163143556797103[NAT Number],Table127163143556797103[TT race points])</f>
        <v>#N/A</v>
      </c>
      <c r="AJ14" t="e">
        <f>_xlfn.XLOOKUP(Table125181[[#This Row],[ACA Number]],Table127163143556797[NAT Number],Table127163143556797[TT race points])</f>
        <v>#N/A</v>
      </c>
      <c r="AK14">
        <f>_xlfn.XLOOKUP(Table125181[[#This Row],[ACA Number]],Table1271631435567[NAT Number],Table1271631435567[TT race points])</f>
        <v>264</v>
      </c>
      <c r="AL14" cm="1">
        <f t="array" ref="AL14">_xlfn.LET(_xlpm.r,Table125181[[#This Row],[CM GS1]:[MF GS]],_xlpm.m,_xlfn.AGGREGATE(15,6,_xlpm.r/(_xlpm.r&lt;&gt;999.99),1),IFERROR(_xlpm.m,999.99))</f>
        <v>264</v>
      </c>
      <c r="AM14" cm="1">
        <f t="array" ref="AM14">_xlfn.LET(_xlpm.r,Table125181[[#This Row],[CM GS1]:[MF GS]],_xlpm.m,_xlfn.AGGREGATE(15,6,_xlpm.r/(_xlpm.r&lt;&gt;999.99),2),IFERROR(_xlpm.m,999.99))</f>
        <v>999.99</v>
      </c>
      <c r="AO14">
        <v>120668</v>
      </c>
      <c r="AP14" t="s">
        <v>799</v>
      </c>
      <c r="AQ14" t="s">
        <v>791</v>
      </c>
      <c r="AR14">
        <f>_xlfn.XLOOKUP(Table126182[[#This Row],[ACA Number]],Table121177[ACA Number],Table121177[Best 1 run SL race])</f>
        <v>240.78</v>
      </c>
      <c r="AS14">
        <f>_xlfn.XLOOKUP(Table126182[[#This Row],[ACA Number]],Table123179[ACA Number],Table123179[Best 1 Run])</f>
        <v>232.34</v>
      </c>
      <c r="AT14">
        <f>_xlfn.XLOOKUP(Table126182[[#This Row],[ACA Number]],Table124180[ACA Number],Table124180[Best result],)</f>
        <v>252.84</v>
      </c>
      <c r="AU14">
        <f>_xlfn.XLOOKUP(Table126182[[#This Row],[ACA Number]],Table124180[ACA Number],Table124180[2nd Best Result])</f>
        <v>999.99</v>
      </c>
      <c r="AV14">
        <f>_xlfn.XLOOKUP(Table126182[[#This Row],[ACA Number]],Table125181[ACA Number],Table125181[Best result])</f>
        <v>255.33</v>
      </c>
      <c r="AW14">
        <f>_xlfn.XLOOKUP(Table126182[[#This Row],[ACA Number]],Table125181[ACA Number],Table125181[2nd Best Result])</f>
        <v>999.99</v>
      </c>
      <c r="AX14">
        <f t="shared" si="0"/>
        <v>2981.27</v>
      </c>
      <c r="AY14">
        <f>_xlfn.RANK.EQ(Table126182[[#This Row],[Total Points]],Table126182[Total Points],1)</f>
        <v>11</v>
      </c>
    </row>
    <row r="15" spans="1:51" x14ac:dyDescent="0.3">
      <c r="A15">
        <v>126994</v>
      </c>
      <c r="B15" t="s">
        <v>803</v>
      </c>
      <c r="C15" t="s">
        <v>791</v>
      </c>
      <c r="D15" t="e">
        <f>_xlfn.XLOOKUP(Table121177[[#This Row],[ACA Number]],Table12[NAT Number],Table12[run 1 points])</f>
        <v>#N/A</v>
      </c>
      <c r="E15" t="e">
        <f>_xlfn.XLOOKUP(Table121177[[#This Row],[ACA Number]],Table12[NAT Number],Table12[run 2 points])</f>
        <v>#N/A</v>
      </c>
      <c r="F15" t="e">
        <f>_xlfn.XLOOKUP(Table121177[[#This Row],[ACA Number]],Table1225[NAT Number],Table1225[run 1 points])</f>
        <v>#N/A</v>
      </c>
      <c r="G15" t="e">
        <f>_xlfn.XLOOKUP(Table121177[[#This Row],[ACA Number]],Table1225[NAT Number],Table1225[run 2 points])</f>
        <v>#N/A</v>
      </c>
      <c r="H15" t="e">
        <f>_xlfn.XLOOKUP(Table121177[[#This Row],[ACA Number]],Table127163143556779[NAT Number],Table127163143556779[run 1 points])</f>
        <v>#N/A</v>
      </c>
      <c r="I15" t="e">
        <f>_xlfn.XLOOKUP(Table121177[[#This Row],[ACA Number]],Table127163143556779[NAT Number],Table127163143556779[run 2 points])</f>
        <v>#N/A</v>
      </c>
      <c r="J15" cm="1">
        <f t="array" ref="J15">_xlfn.LET(_xlpm.r,Table121177[[#This Row],[PM SL1 R1]:[MF SL1 R2]],_xlpm.m,_xlfn.AGGREGATE(15,6,_xlpm.r/(_xlpm.r&lt;&gt;999.99),1),IFERROR(_xlpm.m,999.99))</f>
        <v>999.99</v>
      </c>
      <c r="L15">
        <v>126994</v>
      </c>
      <c r="M15" t="s">
        <v>803</v>
      </c>
      <c r="N15" t="s">
        <v>791</v>
      </c>
      <c r="O15" t="e">
        <f>_xlfn.XLOOKUP(Table123179[[#This Row],[ACA Number]],Table127163143556797103[NAT Number],Table127163143556797103[run 1 points])</f>
        <v>#N/A</v>
      </c>
      <c r="P15" t="e">
        <f>_xlfn.XLOOKUP(Table123179[[#This Row],[ACA Number]],Table127163143556797103[NAT Number],Table127163143556797103[run 2 points])</f>
        <v>#N/A</v>
      </c>
      <c r="Q15" t="e">
        <f>_xlfn.XLOOKUP(Table123179[[#This Row],[ACA Number]],Table127163143556797[NAT Number],Table127163143556797[run 1 points])</f>
        <v>#N/A</v>
      </c>
      <c r="R15" t="e">
        <f>_xlfn.XLOOKUP(Table123179[[#This Row],[ACA Number]],Table127163143556797[NAT Number],Table127163143556797[run 2 points])</f>
        <v>#N/A</v>
      </c>
      <c r="S15" t="e">
        <f>_xlfn.XLOOKUP(Table123179[[#This Row],[ACA Number]],Table1271631435567[NAT Number],Table1271631435567[run 1 points])</f>
        <v>#N/A</v>
      </c>
      <c r="T15" t="e">
        <f>_xlfn.XLOOKUP(Table123179[[#This Row],[ACA Number]],Table1271631435567[NAT Number],Table1271631435567[run 2 points])</f>
        <v>#N/A</v>
      </c>
      <c r="U15" cm="1">
        <f t="array" ref="U15">_xlfn.LET(_xlpm.r,Table123179[[#This Row],[CM GS1 R1]:[MF GS R2]],_xlpm.m,_xlfn.AGGREGATE(15,6,_xlpm.r/(_xlpm.r&lt;&gt;999.99),1),IFERROR(_xlpm.m,999.99))</f>
        <v>999.99</v>
      </c>
      <c r="W15">
        <v>126994</v>
      </c>
      <c r="X15" t="s">
        <v>803</v>
      </c>
      <c r="Y15" t="s">
        <v>791</v>
      </c>
      <c r="Z15" t="e">
        <f>_xlfn.XLOOKUP(Table124180[[#This Row],[ACA Number]],Table12[NAT Number],Table12[TT race points])</f>
        <v>#N/A</v>
      </c>
      <c r="AA15" t="e">
        <f>_xlfn.XLOOKUP(Table124180[[#This Row],[ACA Number]],Table1225[NAT Number],Table1225[TT race points])</f>
        <v>#N/A</v>
      </c>
      <c r="AB15" t="e">
        <f>_xlfn.XLOOKUP(Table124180[[#This Row],[ACA Number]],Table127163143556779[NAT Number],Table127163143556779[TT race points])</f>
        <v>#N/A</v>
      </c>
      <c r="AC15" cm="1">
        <f t="array" ref="AC15">_xlfn.LET(_xlpm.r,Table124180[[#This Row],[PM SL1]:[MF SL]],_xlpm.m,_xlfn.AGGREGATE(15,6,_xlpm.r/(_xlpm.r&lt;&gt;999.99),1),IFERROR(_xlpm.m,999.99))</f>
        <v>999.99</v>
      </c>
      <c r="AD15" cm="1">
        <f t="array" ref="AD15">_xlfn.LET(_xlpm.r,Table124180[[#This Row],[PM SL1]:[MF SL]],_xlpm.m,_xlfn.AGGREGATE(15,6,_xlpm.r/(_xlpm.r&lt;&gt;999.99),2),IFERROR(_xlpm.m,999.99))</f>
        <v>999.99</v>
      </c>
      <c r="AF15">
        <v>126994</v>
      </c>
      <c r="AG15" t="s">
        <v>803</v>
      </c>
      <c r="AH15" t="s">
        <v>791</v>
      </c>
      <c r="AI15" t="e">
        <f>_xlfn.XLOOKUP(Table125181[[#This Row],[ACA Number]],Table127163143556797103[NAT Number],Table127163143556797103[TT race points])</f>
        <v>#N/A</v>
      </c>
      <c r="AJ15" t="e">
        <f>_xlfn.XLOOKUP(Table125181[[#This Row],[ACA Number]],Table127163143556797[NAT Number],Table127163143556797[TT race points])</f>
        <v>#N/A</v>
      </c>
      <c r="AK15" t="e">
        <f>_xlfn.XLOOKUP(Table125181[[#This Row],[ACA Number]],Table1271631435567[NAT Number],Table1271631435567[TT race points])</f>
        <v>#N/A</v>
      </c>
      <c r="AL15" cm="1">
        <f t="array" ref="AL15">_xlfn.LET(_xlpm.r,Table125181[[#This Row],[CM GS1]:[MF GS]],_xlpm.m,_xlfn.AGGREGATE(15,6,_xlpm.r/(_xlpm.r&lt;&gt;999.99),1),IFERROR(_xlpm.m,999.99))</f>
        <v>999.99</v>
      </c>
      <c r="AM15" cm="1">
        <f t="array" ref="AM15">_xlfn.LET(_xlpm.r,Table125181[[#This Row],[CM GS1]:[MF GS]],_xlpm.m,_xlfn.AGGREGATE(15,6,_xlpm.r/(_xlpm.r&lt;&gt;999.99),2),IFERROR(_xlpm.m,999.99))</f>
        <v>999.99</v>
      </c>
      <c r="AO15">
        <v>124080</v>
      </c>
      <c r="AP15" t="s">
        <v>794</v>
      </c>
      <c r="AQ15" t="s">
        <v>791</v>
      </c>
      <c r="AR15">
        <f>_xlfn.XLOOKUP(Table126182[[#This Row],[ACA Number]],Table121177[ACA Number],Table121177[Best 1 run SL race])</f>
        <v>397.8</v>
      </c>
      <c r="AS15">
        <f>_xlfn.XLOOKUP(Table126182[[#This Row],[ACA Number]],Table123179[ACA Number],Table123179[Best 1 Run])</f>
        <v>326.63</v>
      </c>
      <c r="AT15">
        <f>_xlfn.XLOOKUP(Table126182[[#This Row],[ACA Number]],Table124180[ACA Number],Table124180[Best result],)</f>
        <v>405.75</v>
      </c>
      <c r="AU15">
        <f>_xlfn.XLOOKUP(Table126182[[#This Row],[ACA Number]],Table124180[ACA Number],Table124180[2nd Best Result])</f>
        <v>999.99</v>
      </c>
      <c r="AV15">
        <f>_xlfn.XLOOKUP(Table126182[[#This Row],[ACA Number]],Table125181[ACA Number],Table125181[Best result])</f>
        <v>355.34</v>
      </c>
      <c r="AW15">
        <f>_xlfn.XLOOKUP(Table126182[[#This Row],[ACA Number]],Table125181[ACA Number],Table125181[2nd Best Result])</f>
        <v>999.99</v>
      </c>
      <c r="AX15">
        <f t="shared" si="0"/>
        <v>3485.5</v>
      </c>
      <c r="AY15">
        <f>_xlfn.RANK.EQ(Table126182[[#This Row],[Total Points]],Table126182[Total Points],1)</f>
        <v>12</v>
      </c>
    </row>
    <row r="16" spans="1:51" x14ac:dyDescent="0.3">
      <c r="A16">
        <v>112415</v>
      </c>
      <c r="B16" t="s">
        <v>804</v>
      </c>
      <c r="C16" t="s">
        <v>791</v>
      </c>
      <c r="D16">
        <f>_xlfn.XLOOKUP(Table121177[[#This Row],[ACA Number]],Table12[NAT Number],Table12[run 1 points])</f>
        <v>566.54999999999995</v>
      </c>
      <c r="E16">
        <f>_xlfn.XLOOKUP(Table121177[[#This Row],[ACA Number]],Table12[NAT Number],Table12[run 2 points])</f>
        <v>564.28</v>
      </c>
      <c r="F16">
        <f>_xlfn.XLOOKUP(Table121177[[#This Row],[ACA Number]],Table1225[NAT Number],Table1225[run 1 points])</f>
        <v>616.04</v>
      </c>
      <c r="G16">
        <f>_xlfn.XLOOKUP(Table121177[[#This Row],[ACA Number]],Table1225[NAT Number],Table1225[run 2 points])</f>
        <v>635.42999999999995</v>
      </c>
      <c r="H16" t="e">
        <f>_xlfn.XLOOKUP(Table121177[[#This Row],[ACA Number]],Table127163143556779[NAT Number],Table127163143556779[run 1 points])</f>
        <v>#N/A</v>
      </c>
      <c r="I16" t="e">
        <f>_xlfn.XLOOKUP(Table121177[[#This Row],[ACA Number]],Table127163143556779[NAT Number],Table127163143556779[run 2 points])</f>
        <v>#N/A</v>
      </c>
      <c r="J16" cm="1">
        <f t="array" ref="J16">_xlfn.LET(_xlpm.r,Table121177[[#This Row],[PM SL1 R1]:[MF SL1 R2]],_xlpm.m,_xlfn.AGGREGATE(15,6,_xlpm.r/(_xlpm.r&lt;&gt;999.99),1),IFERROR(_xlpm.m,999.99))</f>
        <v>564.28</v>
      </c>
      <c r="L16">
        <v>112415</v>
      </c>
      <c r="M16" t="s">
        <v>804</v>
      </c>
      <c r="N16" t="s">
        <v>791</v>
      </c>
      <c r="O16" t="e">
        <f>_xlfn.XLOOKUP(Table123179[[#This Row],[ACA Number]],Table127163143556797103[NAT Number],Table127163143556797103[run 1 points])</f>
        <v>#N/A</v>
      </c>
      <c r="P16" t="e">
        <f>_xlfn.XLOOKUP(Table123179[[#This Row],[ACA Number]],Table127163143556797103[NAT Number],Table127163143556797103[run 2 points])</f>
        <v>#N/A</v>
      </c>
      <c r="Q16" t="e">
        <f>_xlfn.XLOOKUP(Table123179[[#This Row],[ACA Number]],Table127163143556797[NAT Number],Table127163143556797[run 1 points])</f>
        <v>#N/A</v>
      </c>
      <c r="R16" t="e">
        <f>_xlfn.XLOOKUP(Table123179[[#This Row],[ACA Number]],Table127163143556797[NAT Number],Table127163143556797[run 2 points])</f>
        <v>#N/A</v>
      </c>
      <c r="S16" t="e">
        <f>_xlfn.XLOOKUP(Table123179[[#This Row],[ACA Number]],Table1271631435567[NAT Number],Table1271631435567[run 1 points])</f>
        <v>#N/A</v>
      </c>
      <c r="T16" t="e">
        <f>_xlfn.XLOOKUP(Table123179[[#This Row],[ACA Number]],Table1271631435567[NAT Number],Table1271631435567[run 2 points])</f>
        <v>#N/A</v>
      </c>
      <c r="U16" cm="1">
        <f t="array" ref="U16">_xlfn.LET(_xlpm.r,Table123179[[#This Row],[CM GS1 R1]:[MF GS R2]],_xlpm.m,_xlfn.AGGREGATE(15,6,_xlpm.r/(_xlpm.r&lt;&gt;999.99),1),IFERROR(_xlpm.m,999.99))</f>
        <v>999.99</v>
      </c>
      <c r="W16">
        <v>112415</v>
      </c>
      <c r="X16" t="s">
        <v>804</v>
      </c>
      <c r="Y16" t="s">
        <v>791</v>
      </c>
      <c r="Z16">
        <f>_xlfn.XLOOKUP(Table124180[[#This Row],[ACA Number]],Table12[NAT Number],Table12[TT race points])</f>
        <v>564.05999999999995</v>
      </c>
      <c r="AA16">
        <f>_xlfn.XLOOKUP(Table124180[[#This Row],[ACA Number]],Table1225[NAT Number],Table1225[TT race points])</f>
        <v>625.9</v>
      </c>
      <c r="AB16" t="e">
        <f>_xlfn.XLOOKUP(Table124180[[#This Row],[ACA Number]],Table127163143556779[NAT Number],Table127163143556779[TT race points])</f>
        <v>#N/A</v>
      </c>
      <c r="AC16" cm="1">
        <f t="array" ref="AC16">_xlfn.LET(_xlpm.r,Table124180[[#This Row],[PM SL1]:[MF SL]],_xlpm.m,_xlfn.AGGREGATE(15,6,_xlpm.r/(_xlpm.r&lt;&gt;999.99),1),IFERROR(_xlpm.m,999.99))</f>
        <v>564.05999999999995</v>
      </c>
      <c r="AD16" cm="1">
        <f t="array" ref="AD16">_xlfn.LET(_xlpm.r,Table124180[[#This Row],[PM SL1]:[MF SL]],_xlpm.m,_xlfn.AGGREGATE(15,6,_xlpm.r/(_xlpm.r&lt;&gt;999.99),2),IFERROR(_xlpm.m,999.99))</f>
        <v>625.9</v>
      </c>
      <c r="AF16">
        <v>112415</v>
      </c>
      <c r="AG16" t="s">
        <v>804</v>
      </c>
      <c r="AH16" t="s">
        <v>791</v>
      </c>
      <c r="AI16" t="e">
        <f>_xlfn.XLOOKUP(Table125181[[#This Row],[ACA Number]],Table127163143556797103[NAT Number],Table127163143556797103[TT race points])</f>
        <v>#N/A</v>
      </c>
      <c r="AJ16" t="e">
        <f>_xlfn.XLOOKUP(Table125181[[#This Row],[ACA Number]],Table127163143556797[NAT Number],Table127163143556797[TT race points])</f>
        <v>#N/A</v>
      </c>
      <c r="AK16" t="e">
        <f>_xlfn.XLOOKUP(Table125181[[#This Row],[ACA Number]],Table1271631435567[NAT Number],Table1271631435567[TT race points])</f>
        <v>#N/A</v>
      </c>
      <c r="AL16" cm="1">
        <f t="array" ref="AL16">_xlfn.LET(_xlpm.r,Table125181[[#This Row],[CM GS1]:[MF GS]],_xlpm.m,_xlfn.AGGREGATE(15,6,_xlpm.r/(_xlpm.r&lt;&gt;999.99),1),IFERROR(_xlpm.m,999.99))</f>
        <v>999.99</v>
      </c>
      <c r="AM16" cm="1">
        <f t="array" ref="AM16">_xlfn.LET(_xlpm.r,Table125181[[#This Row],[CM GS1]:[MF GS]],_xlpm.m,_xlfn.AGGREGATE(15,6,_xlpm.r/(_xlpm.r&lt;&gt;999.99),2),IFERROR(_xlpm.m,999.99))</f>
        <v>999.99</v>
      </c>
      <c r="AO16">
        <v>124822</v>
      </c>
      <c r="AP16" t="s">
        <v>793</v>
      </c>
      <c r="AQ16" t="s">
        <v>791</v>
      </c>
      <c r="AR16">
        <f>_xlfn.XLOOKUP(Table126182[[#This Row],[ACA Number]],Table121177[ACA Number],Table121177[Best 1 run SL race])</f>
        <v>999.99</v>
      </c>
      <c r="AS16">
        <f>_xlfn.XLOOKUP(Table126182[[#This Row],[ACA Number]],Table123179[ACA Number],Table123179[Best 1 Run])</f>
        <v>999.99</v>
      </c>
      <c r="AT16">
        <f>_xlfn.XLOOKUP(Table126182[[#This Row],[ACA Number]],Table124180[ACA Number],Table124180[Best result],)</f>
        <v>999.99</v>
      </c>
      <c r="AU16">
        <f>_xlfn.XLOOKUP(Table126182[[#This Row],[ACA Number]],Table124180[ACA Number],Table124180[2nd Best Result])</f>
        <v>999.99</v>
      </c>
      <c r="AV16">
        <f>_xlfn.XLOOKUP(Table126182[[#This Row],[ACA Number]],Table125181[ACA Number],Table125181[Best result])</f>
        <v>999.99</v>
      </c>
      <c r="AW16">
        <f>_xlfn.XLOOKUP(Table126182[[#This Row],[ACA Number]],Table125181[ACA Number],Table125181[2nd Best Result])</f>
        <v>999.99</v>
      </c>
      <c r="AX16">
        <f t="shared" si="0"/>
        <v>5999.94</v>
      </c>
      <c r="AY16">
        <f>_xlfn.RANK.EQ(Table126182[[#This Row],[Total Points]],Table126182[Total Points],1)</f>
        <v>15</v>
      </c>
    </row>
    <row r="17" spans="1:51" x14ac:dyDescent="0.3">
      <c r="A17">
        <v>111248</v>
      </c>
      <c r="B17" t="s">
        <v>805</v>
      </c>
      <c r="C17" t="s">
        <v>791</v>
      </c>
      <c r="D17">
        <f>_xlfn.XLOOKUP(Table121177[[#This Row],[ACA Number]],Table12[NAT Number],Table12[run 1 points])</f>
        <v>211.44</v>
      </c>
      <c r="E17">
        <f>_xlfn.XLOOKUP(Table121177[[#This Row],[ACA Number]],Table12[NAT Number],Table12[run 2 points])</f>
        <v>225.27</v>
      </c>
      <c r="F17">
        <f>_xlfn.XLOOKUP(Table121177[[#This Row],[ACA Number]],Table1225[NAT Number],Table1225[run 1 points])</f>
        <v>241.13</v>
      </c>
      <c r="G17">
        <f>_xlfn.XLOOKUP(Table121177[[#This Row],[ACA Number]],Table1225[NAT Number],Table1225[run 2 points])</f>
        <v>214.34</v>
      </c>
      <c r="H17">
        <f>_xlfn.XLOOKUP(Table121177[[#This Row],[ACA Number]],Table127163143556779[NAT Number],Table127163143556779[run 1 points])</f>
        <v>112.46</v>
      </c>
      <c r="I17">
        <f>_xlfn.XLOOKUP(Table121177[[#This Row],[ACA Number]],Table127163143556779[NAT Number],Table127163143556779[run 2 points])</f>
        <v>119.47</v>
      </c>
      <c r="J17" cm="1">
        <f t="array" ref="J17">_xlfn.LET(_xlpm.r,Table121177[[#This Row],[PM SL1 R1]:[MF SL1 R2]],_xlpm.m,_xlfn.AGGREGATE(15,6,_xlpm.r/(_xlpm.r&lt;&gt;999.99),1),IFERROR(_xlpm.m,999.99))</f>
        <v>112.46</v>
      </c>
      <c r="L17">
        <v>111248</v>
      </c>
      <c r="M17" t="s">
        <v>805</v>
      </c>
      <c r="N17" t="s">
        <v>791</v>
      </c>
      <c r="O17">
        <f>_xlfn.XLOOKUP(Table123179[[#This Row],[ACA Number]],Table127163143556797103[NAT Number],Table127163143556797103[run 1 points])</f>
        <v>91.92</v>
      </c>
      <c r="P17">
        <f>_xlfn.XLOOKUP(Table123179[[#This Row],[ACA Number]],Table127163143556797103[NAT Number],Table127163143556797103[run 2 points])</f>
        <v>143.05000000000001</v>
      </c>
      <c r="Q17">
        <f>_xlfn.XLOOKUP(Table123179[[#This Row],[ACA Number]],Table127163143556797[NAT Number],Table127163143556797[run 1 points])</f>
        <v>240.85</v>
      </c>
      <c r="R17">
        <f>_xlfn.XLOOKUP(Table123179[[#This Row],[ACA Number]],Table127163143556797[NAT Number],Table127163143556797[run 2 points])</f>
        <v>241.36</v>
      </c>
      <c r="S17">
        <f>_xlfn.XLOOKUP(Table123179[[#This Row],[ACA Number]],Table1271631435567[NAT Number],Table1271631435567[run 1 points])</f>
        <v>92.39</v>
      </c>
      <c r="T17">
        <f>_xlfn.XLOOKUP(Table123179[[#This Row],[ACA Number]],Table1271631435567[NAT Number],Table1271631435567[run 2 points])</f>
        <v>92.69</v>
      </c>
      <c r="U17" cm="1">
        <f t="array" ref="U17">_xlfn.LET(_xlpm.r,Table123179[[#This Row],[CM GS1 R1]:[MF GS R2]],_xlpm.m,_xlfn.AGGREGATE(15,6,_xlpm.r/(_xlpm.r&lt;&gt;999.99),1),IFERROR(_xlpm.m,999.99))</f>
        <v>91.92</v>
      </c>
      <c r="W17">
        <v>111248</v>
      </c>
      <c r="X17" t="s">
        <v>805</v>
      </c>
      <c r="Y17" t="s">
        <v>791</v>
      </c>
      <c r="Z17">
        <f>_xlfn.XLOOKUP(Table124180[[#This Row],[ACA Number]],Table12[NAT Number],Table12[TT race points])</f>
        <v>217.58</v>
      </c>
      <c r="AA17">
        <f>_xlfn.XLOOKUP(Table124180[[#This Row],[ACA Number]],Table1225[NAT Number],Table1225[TT race points])</f>
        <v>227.5</v>
      </c>
      <c r="AB17">
        <f>_xlfn.XLOOKUP(Table124180[[#This Row],[ACA Number]],Table127163143556779[NAT Number],Table127163143556779[TT race points])</f>
        <v>112.54</v>
      </c>
      <c r="AC17" cm="1">
        <f t="array" ref="AC17">_xlfn.LET(_xlpm.r,Table124180[[#This Row],[PM SL1]:[MF SL]],_xlpm.m,_xlfn.AGGREGATE(15,6,_xlpm.r/(_xlpm.r&lt;&gt;999.99),1),IFERROR(_xlpm.m,999.99))</f>
        <v>112.54</v>
      </c>
      <c r="AD17" cm="1">
        <f t="array" ref="AD17">_xlfn.LET(_xlpm.r,Table124180[[#This Row],[PM SL1]:[MF SL]],_xlpm.m,_xlfn.AGGREGATE(15,6,_xlpm.r/(_xlpm.r&lt;&gt;999.99),2),IFERROR(_xlpm.m,999.99))</f>
        <v>217.58</v>
      </c>
      <c r="AF17">
        <v>111248</v>
      </c>
      <c r="AG17" t="s">
        <v>805</v>
      </c>
      <c r="AH17" t="s">
        <v>791</v>
      </c>
      <c r="AI17">
        <f>_xlfn.XLOOKUP(Table125181[[#This Row],[ACA Number]],Table127163143556797103[NAT Number],Table127163143556797103[TT race points])</f>
        <v>79.42</v>
      </c>
      <c r="AJ17">
        <f>_xlfn.XLOOKUP(Table125181[[#This Row],[ACA Number]],Table127163143556797[NAT Number],Table127163143556797[TT race points])</f>
        <v>241.12</v>
      </c>
      <c r="AK17">
        <f>_xlfn.XLOOKUP(Table125181[[#This Row],[ACA Number]],Table1271631435567[NAT Number],Table1271631435567[TT race points])</f>
        <v>92.54</v>
      </c>
      <c r="AL17" cm="1">
        <f t="array" ref="AL17">_xlfn.LET(_xlpm.r,Table125181[[#This Row],[CM GS1]:[MF GS]],_xlpm.m,_xlfn.AGGREGATE(15,6,_xlpm.r/(_xlpm.r&lt;&gt;999.99),1),IFERROR(_xlpm.m,999.99))</f>
        <v>79.42</v>
      </c>
      <c r="AM17" cm="1">
        <f t="array" ref="AM17">_xlfn.LET(_xlpm.r,Table125181[[#This Row],[CM GS1]:[MF GS]],_xlpm.m,_xlfn.AGGREGATE(15,6,_xlpm.r/(_xlpm.r&lt;&gt;999.99),2),IFERROR(_xlpm.m,999.99))</f>
        <v>92.54</v>
      </c>
      <c r="AO17">
        <v>123279</v>
      </c>
      <c r="AP17" t="s">
        <v>800</v>
      </c>
      <c r="AQ17" t="s">
        <v>791</v>
      </c>
      <c r="AR17">
        <f>_xlfn.XLOOKUP(Table126182[[#This Row],[ACA Number]],Table121177[ACA Number],Table121177[Best 1 run SL race])</f>
        <v>999.99</v>
      </c>
      <c r="AS17">
        <f>_xlfn.XLOOKUP(Table126182[[#This Row],[ACA Number]],Table123179[ACA Number],Table123179[Best 1 Run])</f>
        <v>999.99</v>
      </c>
      <c r="AT17">
        <f>_xlfn.XLOOKUP(Table126182[[#This Row],[ACA Number]],Table124180[ACA Number],Table124180[Best result],)</f>
        <v>999.99</v>
      </c>
      <c r="AU17">
        <f>_xlfn.XLOOKUP(Table126182[[#This Row],[ACA Number]],Table124180[ACA Number],Table124180[2nd Best Result])</f>
        <v>999.99</v>
      </c>
      <c r="AV17">
        <f>_xlfn.XLOOKUP(Table126182[[#This Row],[ACA Number]],Table125181[ACA Number],Table125181[Best result])</f>
        <v>999.99</v>
      </c>
      <c r="AW17">
        <f>_xlfn.XLOOKUP(Table126182[[#This Row],[ACA Number]],Table125181[ACA Number],Table125181[2nd Best Result])</f>
        <v>999.99</v>
      </c>
      <c r="AX17">
        <f t="shared" si="0"/>
        <v>5999.94</v>
      </c>
      <c r="AY17">
        <f>_xlfn.RANK.EQ(Table126182[[#This Row],[Total Points]],Table126182[Total Points],1)</f>
        <v>15</v>
      </c>
    </row>
    <row r="18" spans="1:51" x14ac:dyDescent="0.3">
      <c r="A18">
        <v>120665</v>
      </c>
      <c r="B18" t="s">
        <v>806</v>
      </c>
      <c r="C18" t="s">
        <v>791</v>
      </c>
      <c r="D18" t="e">
        <f>_xlfn.XLOOKUP(Table121177[[#This Row],[ACA Number]],Table12[NAT Number],Table12[run 1 points])</f>
        <v>#N/A</v>
      </c>
      <c r="E18" t="e">
        <f>_xlfn.XLOOKUP(Table121177[[#This Row],[ACA Number]],Table12[NAT Number],Table12[run 2 points])</f>
        <v>#N/A</v>
      </c>
      <c r="F18" t="e">
        <f>_xlfn.XLOOKUP(Table121177[[#This Row],[ACA Number]],Table1225[NAT Number],Table1225[run 1 points])</f>
        <v>#N/A</v>
      </c>
      <c r="G18" t="e">
        <f>_xlfn.XLOOKUP(Table121177[[#This Row],[ACA Number]],Table1225[NAT Number],Table1225[run 2 points])</f>
        <v>#N/A</v>
      </c>
      <c r="H18">
        <f>_xlfn.XLOOKUP(Table121177[[#This Row],[ACA Number]],Table127163143556779[NAT Number],Table127163143556779[run 1 points])</f>
        <v>308.14</v>
      </c>
      <c r="I18">
        <f>_xlfn.XLOOKUP(Table121177[[#This Row],[ACA Number]],Table127163143556779[NAT Number],Table127163143556779[run 2 points])</f>
        <v>999.99</v>
      </c>
      <c r="J18" cm="1">
        <f t="array" ref="J18">_xlfn.LET(_xlpm.r,Table121177[[#This Row],[PM SL1 R1]:[MF SL1 R2]],_xlpm.m,_xlfn.AGGREGATE(15,6,_xlpm.r/(_xlpm.r&lt;&gt;999.99),1),IFERROR(_xlpm.m,999.99))</f>
        <v>308.14</v>
      </c>
      <c r="L18">
        <v>120665</v>
      </c>
      <c r="M18" t="s">
        <v>806</v>
      </c>
      <c r="N18" t="s">
        <v>791</v>
      </c>
      <c r="O18" t="e">
        <f>_xlfn.XLOOKUP(Table123179[[#This Row],[ACA Number]],Table127163143556797103[NAT Number],Table127163143556797103[run 1 points])</f>
        <v>#N/A</v>
      </c>
      <c r="P18" t="e">
        <f>_xlfn.XLOOKUP(Table123179[[#This Row],[ACA Number]],Table127163143556797103[NAT Number],Table127163143556797103[run 2 points])</f>
        <v>#N/A</v>
      </c>
      <c r="Q18" t="e">
        <f>_xlfn.XLOOKUP(Table123179[[#This Row],[ACA Number]],Table127163143556797[NAT Number],Table127163143556797[run 1 points])</f>
        <v>#N/A</v>
      </c>
      <c r="R18" t="e">
        <f>_xlfn.XLOOKUP(Table123179[[#This Row],[ACA Number]],Table127163143556797[NAT Number],Table127163143556797[run 2 points])</f>
        <v>#N/A</v>
      </c>
      <c r="S18">
        <f>_xlfn.XLOOKUP(Table123179[[#This Row],[ACA Number]],Table1271631435567[NAT Number],Table1271631435567[run 1 points])</f>
        <v>332.2</v>
      </c>
      <c r="T18">
        <f>_xlfn.XLOOKUP(Table123179[[#This Row],[ACA Number]],Table1271631435567[NAT Number],Table1271631435567[run 2 points])</f>
        <v>338.27</v>
      </c>
      <c r="U18" cm="1">
        <f t="array" ref="U18">_xlfn.LET(_xlpm.r,Table123179[[#This Row],[CM GS1 R1]:[MF GS R2]],_xlpm.m,_xlfn.AGGREGATE(15,6,_xlpm.r/(_xlpm.r&lt;&gt;999.99),1),IFERROR(_xlpm.m,999.99))</f>
        <v>332.2</v>
      </c>
      <c r="W18">
        <v>120665</v>
      </c>
      <c r="X18" t="s">
        <v>806</v>
      </c>
      <c r="Y18" t="s">
        <v>791</v>
      </c>
      <c r="Z18" t="e">
        <f>_xlfn.XLOOKUP(Table124180[[#This Row],[ACA Number]],Table12[NAT Number],Table12[TT race points])</f>
        <v>#N/A</v>
      </c>
      <c r="AA18" t="e">
        <f>_xlfn.XLOOKUP(Table124180[[#This Row],[ACA Number]],Table1225[NAT Number],Table1225[TT race points])</f>
        <v>#N/A</v>
      </c>
      <c r="AB18">
        <f>_xlfn.XLOOKUP(Table124180[[#This Row],[ACA Number]],Table127163143556779[NAT Number],Table127163143556779[TT race points])</f>
        <v>999.99</v>
      </c>
      <c r="AC18" cm="1">
        <f t="array" ref="AC18">_xlfn.LET(_xlpm.r,Table124180[[#This Row],[PM SL1]:[MF SL]],_xlpm.m,_xlfn.AGGREGATE(15,6,_xlpm.r/(_xlpm.r&lt;&gt;999.99),1),IFERROR(_xlpm.m,999.99))</f>
        <v>999.99</v>
      </c>
      <c r="AD18" cm="1">
        <f t="array" ref="AD18">_xlfn.LET(_xlpm.r,Table124180[[#This Row],[PM SL1]:[MF SL]],_xlpm.m,_xlfn.AGGREGATE(15,6,_xlpm.r/(_xlpm.r&lt;&gt;999.99),2),IFERROR(_xlpm.m,999.99))</f>
        <v>999.99</v>
      </c>
      <c r="AF18">
        <v>120665</v>
      </c>
      <c r="AG18" t="s">
        <v>806</v>
      </c>
      <c r="AH18" t="s">
        <v>791</v>
      </c>
      <c r="AI18" t="e">
        <f>_xlfn.XLOOKUP(Table125181[[#This Row],[ACA Number]],Table127163143556797103[NAT Number],Table127163143556797103[TT race points])</f>
        <v>#N/A</v>
      </c>
      <c r="AJ18" t="e">
        <f>_xlfn.XLOOKUP(Table125181[[#This Row],[ACA Number]],Table127163143556797[NAT Number],Table127163143556797[TT race points])</f>
        <v>#N/A</v>
      </c>
      <c r="AK18">
        <f>_xlfn.XLOOKUP(Table125181[[#This Row],[ACA Number]],Table1271631435567[NAT Number],Table1271631435567[TT race points])</f>
        <v>335.25</v>
      </c>
      <c r="AL18" cm="1">
        <f t="array" ref="AL18">_xlfn.LET(_xlpm.r,Table125181[[#This Row],[CM GS1]:[MF GS]],_xlpm.m,_xlfn.AGGREGATE(15,6,_xlpm.r/(_xlpm.r&lt;&gt;999.99),1),IFERROR(_xlpm.m,999.99))</f>
        <v>335.25</v>
      </c>
      <c r="AM18" cm="1">
        <f t="array" ref="AM18">_xlfn.LET(_xlpm.r,Table125181[[#This Row],[CM GS1]:[MF GS]],_xlpm.m,_xlfn.AGGREGATE(15,6,_xlpm.r/(_xlpm.r&lt;&gt;999.99),2),IFERROR(_xlpm.m,999.99))</f>
        <v>999.99</v>
      </c>
      <c r="AO18">
        <v>110444</v>
      </c>
      <c r="AP18" t="s">
        <v>801</v>
      </c>
      <c r="AQ18" t="s">
        <v>791</v>
      </c>
      <c r="AR18">
        <f>_xlfn.XLOOKUP(Table126182[[#This Row],[ACA Number]],Table121177[ACA Number],Table121177[Best 1 run SL race])</f>
        <v>999.99</v>
      </c>
      <c r="AS18">
        <f>_xlfn.XLOOKUP(Table126182[[#This Row],[ACA Number]],Table123179[ACA Number],Table123179[Best 1 Run])</f>
        <v>999.99</v>
      </c>
      <c r="AT18">
        <f>_xlfn.XLOOKUP(Table126182[[#This Row],[ACA Number]],Table124180[ACA Number],Table124180[Best result],)</f>
        <v>999.99</v>
      </c>
      <c r="AU18">
        <f>_xlfn.XLOOKUP(Table126182[[#This Row],[ACA Number]],Table124180[ACA Number],Table124180[2nd Best Result])</f>
        <v>999.99</v>
      </c>
      <c r="AV18">
        <f>_xlfn.XLOOKUP(Table126182[[#This Row],[ACA Number]],Table125181[ACA Number],Table125181[Best result])</f>
        <v>999.99</v>
      </c>
      <c r="AW18">
        <f>_xlfn.XLOOKUP(Table126182[[#This Row],[ACA Number]],Table125181[ACA Number],Table125181[2nd Best Result])</f>
        <v>999.99</v>
      </c>
      <c r="AX18">
        <f t="shared" si="0"/>
        <v>5999.94</v>
      </c>
      <c r="AY18">
        <f>_xlfn.RANK.EQ(Table126182[[#This Row],[Total Points]],Table126182[Total Points],1)</f>
        <v>15</v>
      </c>
    </row>
    <row r="19" spans="1:51" x14ac:dyDescent="0.3">
      <c r="A19">
        <v>119074</v>
      </c>
      <c r="B19" t="s">
        <v>807</v>
      </c>
      <c r="C19" t="s">
        <v>791</v>
      </c>
      <c r="D19">
        <f>_xlfn.XLOOKUP(Table121177[[#This Row],[ACA Number]],Table12[NAT Number],Table12[run 1 points])</f>
        <v>358.79</v>
      </c>
      <c r="E19">
        <f>_xlfn.XLOOKUP(Table121177[[#This Row],[ACA Number]],Table12[NAT Number],Table12[run 2 points])</f>
        <v>349.89</v>
      </c>
      <c r="F19">
        <f>_xlfn.XLOOKUP(Table121177[[#This Row],[ACA Number]],Table1225[NAT Number],Table1225[run 1 points])</f>
        <v>358.71</v>
      </c>
      <c r="G19">
        <f>_xlfn.XLOOKUP(Table121177[[#This Row],[ACA Number]],Table1225[NAT Number],Table1225[run 2 points])</f>
        <v>352.93</v>
      </c>
      <c r="H19">
        <f>_xlfn.XLOOKUP(Table121177[[#This Row],[ACA Number]],Table127163143556779[NAT Number],Table127163143556779[run 1 points])</f>
        <v>254.66</v>
      </c>
      <c r="I19">
        <f>_xlfn.XLOOKUP(Table121177[[#This Row],[ACA Number]],Table127163143556779[NAT Number],Table127163143556779[run 2 points])</f>
        <v>245.03</v>
      </c>
      <c r="J19" cm="1">
        <f t="array" ref="J19">_xlfn.LET(_xlpm.r,Table121177[[#This Row],[PM SL1 R1]:[MF SL1 R2]],_xlpm.m,_xlfn.AGGREGATE(15,6,_xlpm.r/(_xlpm.r&lt;&gt;999.99),1),IFERROR(_xlpm.m,999.99))</f>
        <v>245.03</v>
      </c>
      <c r="L19">
        <v>119074</v>
      </c>
      <c r="M19" t="s">
        <v>807</v>
      </c>
      <c r="N19" t="s">
        <v>791</v>
      </c>
      <c r="O19">
        <f>_xlfn.XLOOKUP(Table123179[[#This Row],[ACA Number]],Table127163143556797103[NAT Number],Table127163143556797103[run 1 points])</f>
        <v>180.74</v>
      </c>
      <c r="P19">
        <f>_xlfn.XLOOKUP(Table123179[[#This Row],[ACA Number]],Table127163143556797103[NAT Number],Table127163143556797103[run 2 points])</f>
        <v>266.16000000000003</v>
      </c>
      <c r="Q19">
        <f>_xlfn.XLOOKUP(Table123179[[#This Row],[ACA Number]],Table127163143556797[NAT Number],Table127163143556797[run 1 points])</f>
        <v>363.23</v>
      </c>
      <c r="R19">
        <f>_xlfn.XLOOKUP(Table123179[[#This Row],[ACA Number]],Table127163143556797[NAT Number],Table127163143556797[run 2 points])</f>
        <v>353.88</v>
      </c>
      <c r="S19">
        <f>_xlfn.XLOOKUP(Table123179[[#This Row],[ACA Number]],Table1271631435567[NAT Number],Table1271631435567[run 1 points])</f>
        <v>196.15</v>
      </c>
      <c r="T19">
        <f>_xlfn.XLOOKUP(Table123179[[#This Row],[ACA Number]],Table1271631435567[NAT Number],Table1271631435567[run 2 points])</f>
        <v>202.04</v>
      </c>
      <c r="U19" cm="1">
        <f t="array" ref="U19">_xlfn.LET(_xlpm.r,Table123179[[#This Row],[CM GS1 R1]:[MF GS R2]],_xlpm.m,_xlfn.AGGREGATE(15,6,_xlpm.r/(_xlpm.r&lt;&gt;999.99),1),IFERROR(_xlpm.m,999.99))</f>
        <v>180.74</v>
      </c>
      <c r="W19">
        <v>119074</v>
      </c>
      <c r="X19" t="s">
        <v>807</v>
      </c>
      <c r="Y19" t="s">
        <v>791</v>
      </c>
      <c r="Z19">
        <f>_xlfn.XLOOKUP(Table124180[[#This Row],[ACA Number]],Table12[NAT Number],Table12[TT race points])</f>
        <v>353.12</v>
      </c>
      <c r="AA19">
        <f>_xlfn.XLOOKUP(Table124180[[#This Row],[ACA Number]],Table1225[NAT Number],Table1225[TT race points])</f>
        <v>355.77</v>
      </c>
      <c r="AB19">
        <f>_xlfn.XLOOKUP(Table124180[[#This Row],[ACA Number]],Table127163143556779[NAT Number],Table127163143556779[TT race points])</f>
        <v>245.41</v>
      </c>
      <c r="AC19" cm="1">
        <f t="array" ref="AC19">_xlfn.LET(_xlpm.r,Table124180[[#This Row],[PM SL1]:[MF SL]],_xlpm.m,_xlfn.AGGREGATE(15,6,_xlpm.r/(_xlpm.r&lt;&gt;999.99),1),IFERROR(_xlpm.m,999.99))</f>
        <v>245.41</v>
      </c>
      <c r="AD19" cm="1">
        <f t="array" ref="AD19">_xlfn.LET(_xlpm.r,Table124180[[#This Row],[PM SL1]:[MF SL]],_xlpm.m,_xlfn.AGGREGATE(15,6,_xlpm.r/(_xlpm.r&lt;&gt;999.99),2),IFERROR(_xlpm.m,999.99))</f>
        <v>353.12</v>
      </c>
      <c r="AF19">
        <v>119074</v>
      </c>
      <c r="AG19" t="s">
        <v>807</v>
      </c>
      <c r="AH19" t="s">
        <v>791</v>
      </c>
      <c r="AI19">
        <f>_xlfn.XLOOKUP(Table125181[[#This Row],[ACA Number]],Table127163143556797103[NAT Number],Table127163143556797103[TT race points])</f>
        <v>181.13</v>
      </c>
      <c r="AJ19">
        <f>_xlfn.XLOOKUP(Table125181[[#This Row],[ACA Number]],Table127163143556797[NAT Number],Table127163143556797[TT race points])</f>
        <v>358.32</v>
      </c>
      <c r="AK19">
        <f>_xlfn.XLOOKUP(Table125181[[#This Row],[ACA Number]],Table1271631435567[NAT Number],Table1271631435567[TT race points])</f>
        <v>199.11</v>
      </c>
      <c r="AL19" cm="1">
        <f t="array" ref="AL19">_xlfn.LET(_xlpm.r,Table125181[[#This Row],[CM GS1]:[MF GS]],_xlpm.m,_xlfn.AGGREGATE(15,6,_xlpm.r/(_xlpm.r&lt;&gt;999.99),1),IFERROR(_xlpm.m,999.99))</f>
        <v>181.13</v>
      </c>
      <c r="AM19" cm="1">
        <f t="array" ref="AM19">_xlfn.LET(_xlpm.r,Table125181[[#This Row],[CM GS1]:[MF GS]],_xlpm.m,_xlfn.AGGREGATE(15,6,_xlpm.r/(_xlpm.r&lt;&gt;999.99),2),IFERROR(_xlpm.m,999.99))</f>
        <v>199.11</v>
      </c>
      <c r="AO19">
        <v>126994</v>
      </c>
      <c r="AP19" t="s">
        <v>803</v>
      </c>
      <c r="AQ19" t="s">
        <v>791</v>
      </c>
      <c r="AR19">
        <f>_xlfn.XLOOKUP(Table126182[[#This Row],[ACA Number]],Table121177[ACA Number],Table121177[Best 1 run SL race])</f>
        <v>999.99</v>
      </c>
      <c r="AS19">
        <f>_xlfn.XLOOKUP(Table126182[[#This Row],[ACA Number]],Table123179[ACA Number],Table123179[Best 1 Run])</f>
        <v>999.99</v>
      </c>
      <c r="AT19">
        <f>_xlfn.XLOOKUP(Table126182[[#This Row],[ACA Number]],Table124180[ACA Number],Table124180[Best result],)</f>
        <v>999.99</v>
      </c>
      <c r="AU19">
        <f>_xlfn.XLOOKUP(Table126182[[#This Row],[ACA Number]],Table124180[ACA Number],Table124180[2nd Best Result])</f>
        <v>999.99</v>
      </c>
      <c r="AV19">
        <f>_xlfn.XLOOKUP(Table126182[[#This Row],[ACA Number]],Table125181[ACA Number],Table125181[Best result])</f>
        <v>999.99</v>
      </c>
      <c r="AW19">
        <f>_xlfn.XLOOKUP(Table126182[[#This Row],[ACA Number]],Table125181[ACA Number],Table125181[2nd Best Result])</f>
        <v>999.99</v>
      </c>
      <c r="AX19">
        <f t="shared" si="0"/>
        <v>5999.94</v>
      </c>
      <c r="AY19">
        <f>_xlfn.RANK.EQ(Table126182[[#This Row],[Total Points]],Table126182[Total Points],1)</f>
        <v>15</v>
      </c>
    </row>
    <row r="20" spans="1:51" x14ac:dyDescent="0.3">
      <c r="A20">
        <v>119081</v>
      </c>
      <c r="B20" t="s">
        <v>808</v>
      </c>
      <c r="C20" t="s">
        <v>791</v>
      </c>
      <c r="D20">
        <f>_xlfn.XLOOKUP(Table121177[[#This Row],[ACA Number]],Table12[NAT Number],Table12[run 1 points])</f>
        <v>469.34</v>
      </c>
      <c r="E20">
        <f>_xlfn.XLOOKUP(Table121177[[#This Row],[ACA Number]],Table12[NAT Number],Table12[run 2 points])</f>
        <v>472.92</v>
      </c>
      <c r="F20">
        <f>_xlfn.XLOOKUP(Table121177[[#This Row],[ACA Number]],Table1225[NAT Number],Table1225[run 1 points])</f>
        <v>453.5</v>
      </c>
      <c r="G20">
        <f>_xlfn.XLOOKUP(Table121177[[#This Row],[ACA Number]],Table1225[NAT Number],Table1225[run 2 points])</f>
        <v>422.61</v>
      </c>
      <c r="H20">
        <f>_xlfn.XLOOKUP(Table121177[[#This Row],[ACA Number]],Table127163143556779[NAT Number],Table127163143556779[run 1 points])</f>
        <v>286.12</v>
      </c>
      <c r="I20">
        <f>_xlfn.XLOOKUP(Table121177[[#This Row],[ACA Number]],Table127163143556779[NAT Number],Table127163143556779[run 2 points])</f>
        <v>273.38</v>
      </c>
      <c r="J20" cm="1">
        <f t="array" ref="J20">_xlfn.LET(_xlpm.r,Table121177[[#This Row],[PM SL1 R1]:[MF SL1 R2]],_xlpm.m,_xlfn.AGGREGATE(15,6,_xlpm.r/(_xlpm.r&lt;&gt;999.99),1),IFERROR(_xlpm.m,999.99))</f>
        <v>273.38</v>
      </c>
      <c r="L20">
        <v>119081</v>
      </c>
      <c r="M20" t="s">
        <v>808</v>
      </c>
      <c r="N20" t="s">
        <v>791</v>
      </c>
      <c r="O20">
        <f>_xlfn.XLOOKUP(Table123179[[#This Row],[ACA Number]],Table127163143556797103[NAT Number],Table127163143556797103[run 1 points])</f>
        <v>999.99</v>
      </c>
      <c r="P20">
        <f>_xlfn.XLOOKUP(Table123179[[#This Row],[ACA Number]],Table127163143556797103[NAT Number],Table127163143556797103[run 2 points])</f>
        <v>447.21</v>
      </c>
      <c r="Q20">
        <f>_xlfn.XLOOKUP(Table123179[[#This Row],[ACA Number]],Table127163143556797[NAT Number],Table127163143556797[run 1 points])</f>
        <v>576.82000000000005</v>
      </c>
      <c r="R20">
        <f>_xlfn.XLOOKUP(Table123179[[#This Row],[ACA Number]],Table127163143556797[NAT Number],Table127163143556797[run 2 points])</f>
        <v>468.6</v>
      </c>
      <c r="S20">
        <f>_xlfn.XLOOKUP(Table123179[[#This Row],[ACA Number]],Table1271631435567[NAT Number],Table1271631435567[run 1 points])</f>
        <v>235.14</v>
      </c>
      <c r="T20">
        <f>_xlfn.XLOOKUP(Table123179[[#This Row],[ACA Number]],Table1271631435567[NAT Number],Table1271631435567[run 2 points])</f>
        <v>310.18</v>
      </c>
      <c r="U20" cm="1">
        <f t="array" ref="U20">_xlfn.LET(_xlpm.r,Table123179[[#This Row],[CM GS1 R1]:[MF GS R2]],_xlpm.m,_xlfn.AGGREGATE(15,6,_xlpm.r/(_xlpm.r&lt;&gt;999.99),1),IFERROR(_xlpm.m,999.99))</f>
        <v>235.14</v>
      </c>
      <c r="W20">
        <v>119081</v>
      </c>
      <c r="X20" t="s">
        <v>808</v>
      </c>
      <c r="Y20" t="s">
        <v>791</v>
      </c>
      <c r="Z20">
        <f>_xlfn.XLOOKUP(Table124180[[#This Row],[ACA Number]],Table12[NAT Number],Table12[TT race points])</f>
        <v>469.95</v>
      </c>
      <c r="AA20">
        <f>_xlfn.XLOOKUP(Table124180[[#This Row],[ACA Number]],Table1225[NAT Number],Table1225[TT race points])</f>
        <v>437.78</v>
      </c>
      <c r="AB20">
        <f>_xlfn.XLOOKUP(Table124180[[#This Row],[ACA Number]],Table127163143556779[NAT Number],Table127163143556779[TT race points])</f>
        <v>275.10000000000002</v>
      </c>
      <c r="AC20" cm="1">
        <f t="array" ref="AC20">_xlfn.LET(_xlpm.r,Table124180[[#This Row],[PM SL1]:[MF SL]],_xlpm.m,_xlfn.AGGREGATE(15,6,_xlpm.r/(_xlpm.r&lt;&gt;999.99),1),IFERROR(_xlpm.m,999.99))</f>
        <v>275.10000000000002</v>
      </c>
      <c r="AD20" cm="1">
        <f t="array" ref="AD20">_xlfn.LET(_xlpm.r,Table124180[[#This Row],[PM SL1]:[MF SL]],_xlpm.m,_xlfn.AGGREGATE(15,6,_xlpm.r/(_xlpm.r&lt;&gt;999.99),2),IFERROR(_xlpm.m,999.99))</f>
        <v>437.78</v>
      </c>
      <c r="AF20">
        <v>119081</v>
      </c>
      <c r="AG20" t="s">
        <v>808</v>
      </c>
      <c r="AH20" t="s">
        <v>791</v>
      </c>
      <c r="AI20">
        <f>_xlfn.XLOOKUP(Table125181[[#This Row],[ACA Number]],Table127163143556797103[NAT Number],Table127163143556797103[TT race points])</f>
        <v>999.99</v>
      </c>
      <c r="AJ20">
        <f>_xlfn.XLOOKUP(Table125181[[#This Row],[ACA Number]],Table127163143556797[NAT Number],Table127163143556797[TT race points])</f>
        <v>520.04999999999995</v>
      </c>
      <c r="AK20">
        <f>_xlfn.XLOOKUP(Table125181[[#This Row],[ACA Number]],Table1271631435567[NAT Number],Table1271631435567[TT race points])</f>
        <v>272.89</v>
      </c>
      <c r="AL20" cm="1">
        <f t="array" ref="AL20">_xlfn.LET(_xlpm.r,Table125181[[#This Row],[CM GS1]:[MF GS]],_xlpm.m,_xlfn.AGGREGATE(15,6,_xlpm.r/(_xlpm.r&lt;&gt;999.99),1),IFERROR(_xlpm.m,999.99))</f>
        <v>272.89</v>
      </c>
      <c r="AM20" cm="1">
        <f t="array" ref="AM20">_xlfn.LET(_xlpm.r,Table125181[[#This Row],[CM GS1]:[MF GS]],_xlpm.m,_xlfn.AGGREGATE(15,6,_xlpm.r/(_xlpm.r&lt;&gt;999.99),2),IFERROR(_xlpm.m,999.99))</f>
        <v>520.04999999999995</v>
      </c>
      <c r="AO20">
        <v>120665</v>
      </c>
      <c r="AP20" t="s">
        <v>806</v>
      </c>
      <c r="AQ20" t="s">
        <v>791</v>
      </c>
      <c r="AR20">
        <f>_xlfn.XLOOKUP(Table126182[[#This Row],[ACA Number]],Table121177[ACA Number],Table121177[Best 1 run SL race])</f>
        <v>308.14</v>
      </c>
      <c r="AS20">
        <f>_xlfn.XLOOKUP(Table126182[[#This Row],[ACA Number]],Table123179[ACA Number],Table123179[Best 1 Run])</f>
        <v>332.2</v>
      </c>
      <c r="AT20">
        <f>_xlfn.XLOOKUP(Table126182[[#This Row],[ACA Number]],Table124180[ACA Number],Table124180[Best result],)</f>
        <v>999.99</v>
      </c>
      <c r="AU20">
        <f>_xlfn.XLOOKUP(Table126182[[#This Row],[ACA Number]],Table124180[ACA Number],Table124180[2nd Best Result])</f>
        <v>999.99</v>
      </c>
      <c r="AV20">
        <f>_xlfn.XLOOKUP(Table126182[[#This Row],[ACA Number]],Table125181[ACA Number],Table125181[Best result])</f>
        <v>335.25</v>
      </c>
      <c r="AW20">
        <f>_xlfn.XLOOKUP(Table126182[[#This Row],[ACA Number]],Table125181[ACA Number],Table125181[2nd Best Result])</f>
        <v>999.99</v>
      </c>
      <c r="AX20">
        <f t="shared" si="0"/>
        <v>3975.5599999999995</v>
      </c>
      <c r="AY20">
        <f>_xlfn.RANK.EQ(Table126182[[#This Row],[Total Points]],Table126182[Total Points],1)</f>
        <v>13</v>
      </c>
    </row>
  </sheetData>
  <mergeCells count="5">
    <mergeCell ref="AR1:AY1"/>
    <mergeCell ref="D1:J1"/>
    <mergeCell ref="O1:U1"/>
    <mergeCell ref="Z1:AD1"/>
    <mergeCell ref="AI1:AM1"/>
  </mergeCells>
  <pageMargins left="0.7" right="0.7" top="0.75" bottom="0.75" header="0.3" footer="0.3"/>
  <tableParts count="5">
    <tablePart r:id="rId1"/>
    <tablePart r:id="rId2"/>
    <tablePart r:id="rId3"/>
    <tablePart r:id="rId4"/>
    <tablePart r:id="rId5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95DC6-0341-49AE-B51A-D817C075123C}">
  <dimension ref="A1:AY22"/>
  <sheetViews>
    <sheetView topLeftCell="AI1" workbookViewId="0">
      <selection activeCell="AO3" sqref="AO3:AO22"/>
    </sheetView>
  </sheetViews>
  <sheetFormatPr defaultRowHeight="14.4" x14ac:dyDescent="0.3"/>
  <cols>
    <col min="1" max="1" width="13.44140625" customWidth="1"/>
    <col min="2" max="2" width="23.33203125" bestFit="1" customWidth="1"/>
    <col min="3" max="3" width="10.33203125" customWidth="1"/>
    <col min="4" max="7" width="10.44140625" customWidth="1"/>
    <col min="8" max="8" width="13.33203125" bestFit="1" customWidth="1"/>
    <col min="9" max="9" width="10.33203125" customWidth="1"/>
    <col min="10" max="10" width="17.21875" customWidth="1"/>
    <col min="12" max="12" width="13.21875" customWidth="1"/>
    <col min="14" max="14" width="10" customWidth="1"/>
    <col min="15" max="18" width="10.5546875" customWidth="1"/>
    <col min="19" max="20" width="10.33203125" customWidth="1"/>
    <col min="21" max="21" width="11.21875" customWidth="1"/>
    <col min="23" max="23" width="13.21875" customWidth="1"/>
    <col min="25" max="25" width="10" customWidth="1"/>
    <col min="26" max="26" width="11.33203125" bestFit="1" customWidth="1"/>
    <col min="29" max="29" width="11.33203125" customWidth="1"/>
    <col min="30" max="30" width="15.109375" customWidth="1"/>
    <col min="32" max="32" width="13.21875" customWidth="1"/>
    <col min="34" max="34" width="10" customWidth="1"/>
    <col min="37" max="37" width="15" bestFit="1" customWidth="1"/>
    <col min="38" max="38" width="11.33203125" customWidth="1"/>
    <col min="39" max="39" width="15.109375" customWidth="1"/>
    <col min="41" max="41" width="13.21875" customWidth="1"/>
    <col min="42" max="42" width="15.6640625" bestFit="1" customWidth="1"/>
    <col min="43" max="43" width="10" customWidth="1"/>
    <col min="44" max="44" width="9.109375" customWidth="1"/>
    <col min="45" max="45" width="10" customWidth="1"/>
    <col min="46" max="46" width="12.6640625" customWidth="1"/>
    <col min="47" max="47" width="16" customWidth="1"/>
    <col min="48" max="48" width="13.109375" customWidth="1"/>
    <col min="49" max="49" width="16.44140625" customWidth="1"/>
    <col min="50" max="50" width="10.109375" customWidth="1"/>
    <col min="51" max="51" width="12.109375" customWidth="1"/>
  </cols>
  <sheetData>
    <row r="1" spans="1:51" ht="21" x14ac:dyDescent="0.4">
      <c r="A1" s="4"/>
      <c r="B1" s="4"/>
      <c r="C1" s="4"/>
      <c r="D1" s="7" t="s">
        <v>450</v>
      </c>
      <c r="E1" s="7"/>
      <c r="F1" s="7"/>
      <c r="G1" s="7"/>
      <c r="H1" s="7"/>
      <c r="I1" s="7"/>
      <c r="J1" s="7"/>
      <c r="K1" s="4"/>
      <c r="L1" s="4"/>
      <c r="M1" s="4"/>
      <c r="N1" s="4"/>
      <c r="O1" s="7" t="s">
        <v>451</v>
      </c>
      <c r="P1" s="7"/>
      <c r="Q1" s="7"/>
      <c r="R1" s="7"/>
      <c r="S1" s="7"/>
      <c r="T1" s="7"/>
      <c r="U1" s="7"/>
      <c r="V1" s="4"/>
      <c r="W1" s="4"/>
      <c r="X1" s="4"/>
      <c r="Y1" s="4"/>
      <c r="Z1" s="7" t="s">
        <v>453</v>
      </c>
      <c r="AA1" s="7"/>
      <c r="AB1" s="7"/>
      <c r="AC1" s="7"/>
      <c r="AD1" s="7"/>
      <c r="AE1" s="4"/>
      <c r="AF1" s="4"/>
      <c r="AG1" s="4"/>
      <c r="AH1" s="4"/>
      <c r="AI1" s="7" t="s">
        <v>458</v>
      </c>
      <c r="AJ1" s="7"/>
      <c r="AK1" s="7"/>
      <c r="AL1" s="7"/>
      <c r="AM1" s="7"/>
      <c r="AN1" s="4"/>
      <c r="AO1" s="4"/>
      <c r="AP1" s="4"/>
      <c r="AQ1" s="4"/>
      <c r="AR1" s="7" t="s">
        <v>603</v>
      </c>
      <c r="AS1" s="7"/>
      <c r="AT1" s="7"/>
      <c r="AU1" s="7"/>
      <c r="AV1" s="7"/>
      <c r="AW1" s="7"/>
      <c r="AX1" s="7"/>
      <c r="AY1" s="7"/>
    </row>
    <row r="2" spans="1:51" x14ac:dyDescent="0.3">
      <c r="A2" t="s">
        <v>367</v>
      </c>
      <c r="B2" t="s">
        <v>368</v>
      </c>
      <c r="C2" t="s">
        <v>354</v>
      </c>
      <c r="D2" t="s">
        <v>604</v>
      </c>
      <c r="E2" t="s">
        <v>605</v>
      </c>
      <c r="F2" t="s">
        <v>606</v>
      </c>
      <c r="G2" t="s">
        <v>607</v>
      </c>
      <c r="H2" t="s">
        <v>608</v>
      </c>
      <c r="I2" t="s">
        <v>609</v>
      </c>
      <c r="J2" t="s">
        <v>456</v>
      </c>
      <c r="L2" t="s">
        <v>367</v>
      </c>
      <c r="M2" t="s">
        <v>368</v>
      </c>
      <c r="N2" t="s">
        <v>354</v>
      </c>
      <c r="O2" t="s">
        <v>612</v>
      </c>
      <c r="P2" t="s">
        <v>613</v>
      </c>
      <c r="Q2" t="s">
        <v>614</v>
      </c>
      <c r="R2" t="s">
        <v>615</v>
      </c>
      <c r="S2" t="s">
        <v>616</v>
      </c>
      <c r="T2" t="s">
        <v>617</v>
      </c>
      <c r="U2" t="s">
        <v>369</v>
      </c>
      <c r="W2" t="s">
        <v>367</v>
      </c>
      <c r="X2" t="s">
        <v>368</v>
      </c>
      <c r="Y2" t="s">
        <v>354</v>
      </c>
      <c r="Z2" t="s">
        <v>618</v>
      </c>
      <c r="AA2" t="s">
        <v>619</v>
      </c>
      <c r="AB2" t="s">
        <v>620</v>
      </c>
      <c r="AC2" t="s">
        <v>454</v>
      </c>
      <c r="AD2" t="s">
        <v>455</v>
      </c>
      <c r="AF2" t="s">
        <v>367</v>
      </c>
      <c r="AG2" t="s">
        <v>368</v>
      </c>
      <c r="AH2" t="s">
        <v>354</v>
      </c>
      <c r="AI2" t="s">
        <v>621</v>
      </c>
      <c r="AJ2" t="s">
        <v>622</v>
      </c>
      <c r="AK2" t="s">
        <v>623</v>
      </c>
      <c r="AL2" t="s">
        <v>454</v>
      </c>
      <c r="AM2" t="s">
        <v>455</v>
      </c>
      <c r="AO2" t="s">
        <v>367</v>
      </c>
      <c r="AP2" t="s">
        <v>368</v>
      </c>
      <c r="AQ2" t="s">
        <v>354</v>
      </c>
      <c r="AR2" t="s">
        <v>587</v>
      </c>
      <c r="AS2" t="s">
        <v>581</v>
      </c>
      <c r="AT2" t="s">
        <v>583</v>
      </c>
      <c r="AU2" t="s">
        <v>584</v>
      </c>
      <c r="AV2" t="s">
        <v>585</v>
      </c>
      <c r="AW2" t="s">
        <v>586</v>
      </c>
      <c r="AX2" t="s">
        <v>588</v>
      </c>
      <c r="AY2" t="s">
        <v>624</v>
      </c>
    </row>
    <row r="3" spans="1:51" x14ac:dyDescent="0.3">
      <c r="A3">
        <v>109954</v>
      </c>
      <c r="B3" t="s">
        <v>769</v>
      </c>
      <c r="C3" t="s">
        <v>770</v>
      </c>
      <c r="D3" t="e">
        <f>_xlfn.XLOOKUP(Table121158183[[#This Row],[ACA Number]],Table127[NAT Number],Table127[run 1 points])</f>
        <v>#N/A</v>
      </c>
      <c r="E3" t="e">
        <f>_xlfn.XLOOKUP(Table121158183[[#This Row],[ACA Number]],Table127[NAT Number],Table127[run 2 points])</f>
        <v>#N/A</v>
      </c>
      <c r="F3" t="e">
        <f>_xlfn.XLOOKUP(Table121158183[[#This Row],[ACA Number]],Table12716[NAT Number],Table12716[run 1 points])</f>
        <v>#N/A</v>
      </c>
      <c r="G3" t="e">
        <f>_xlfn.XLOOKUP(Table121158183[[#This Row],[ACA Number]],Table12716[NAT Number],Table12716[run 2 points])</f>
        <v>#N/A</v>
      </c>
      <c r="H3" t="e">
        <f>_xlfn.XLOOKUP(Table121158183[[#This Row],[ACA Number]],Table12716313749617385[NAT Number],Table12716313749617385[run 1 points])</f>
        <v>#N/A</v>
      </c>
      <c r="I3" t="e">
        <f>_xlfn.XLOOKUP(Table121158183[[#This Row],[ACA Number]],Table12716313749617385[NAT Number],Table12716313749617385[run 2 points])</f>
        <v>#N/A</v>
      </c>
      <c r="J3" cm="1">
        <f t="array" ref="J3">_xlfn.LET(_xlpm.r,Table121158183[[#This Row],[PM SL1 R1]:[MF SL1 R2]],_xlpm.m,_xlfn.AGGREGATE(15,6,_xlpm.r/(_xlpm.r&lt;&gt;999.99),1),IFERROR(_xlpm.m,999.99))</f>
        <v>999.99</v>
      </c>
      <c r="L3">
        <v>109954</v>
      </c>
      <c r="M3" t="s">
        <v>769</v>
      </c>
      <c r="N3" t="s">
        <v>770</v>
      </c>
      <c r="O3" t="e">
        <f>_xlfn.XLOOKUP(Table123160185[[#This Row],[ACA Number]],Table127163137496173[NAT Number],Table127163137496173[run 1 points])</f>
        <v>#N/A</v>
      </c>
      <c r="P3" t="e">
        <f>_xlfn.XLOOKUP(Table123160185[[#This Row],[ACA Number]],Table127163137496173[NAT Number],Table127163137496173[run 2 points])</f>
        <v>#N/A</v>
      </c>
      <c r="Q3" t="e">
        <f>_xlfn.XLOOKUP(Table123160185[[#This Row],[ACA Number]],Table127163137496173109[NAT Number],Table127163137496173109[run 1 points])</f>
        <v>#N/A</v>
      </c>
      <c r="R3" t="e">
        <f>_xlfn.XLOOKUP(Table123160185[[#This Row],[ACA Number]],Table127163137496173109[NAT Number],Table127163137496173109[run 2 points])</f>
        <v>#N/A</v>
      </c>
      <c r="S3" t="e">
        <f>_xlfn.XLOOKUP(Table123160185[[#This Row],[ACA Number]],Table127163137496173109115[NAT Number],Table127163137496173109115[run 1 points])</f>
        <v>#N/A</v>
      </c>
      <c r="T3" t="e">
        <f>_xlfn.XLOOKUP(Table123160185[[#This Row],[ACA Number]],Table127163137496173109115[NAT Number],Table127163137496173109115[run 2 points])</f>
        <v>#N/A</v>
      </c>
      <c r="U3" cm="1">
        <f t="array" ref="U3">_xlfn.LET(_xlpm.r,Table123160185[[#This Row],[CM GS1 R1]:[MF GS R2]],_xlpm.m,_xlfn.AGGREGATE(15,6,_xlpm.r/(_xlpm.r&lt;&gt;999.99),1),IFERROR(_xlpm.m,999.99))</f>
        <v>999.99</v>
      </c>
      <c r="W3">
        <v>109954</v>
      </c>
      <c r="X3" t="s">
        <v>769</v>
      </c>
      <c r="Y3" t="s">
        <v>770</v>
      </c>
      <c r="Z3" t="e">
        <f>_xlfn.XLOOKUP(Table124161186[[#This Row],[ACA Number]],Table127[NAT Number],Table127[TT race points])</f>
        <v>#N/A</v>
      </c>
      <c r="AA3" t="e">
        <f>_xlfn.XLOOKUP(Table124161186[[#This Row],[ACA Number]],Table12716[NAT Number],Table12716[TT race points])</f>
        <v>#N/A</v>
      </c>
      <c r="AB3" t="e">
        <f>_xlfn.XLOOKUP(Table124161186[[#This Row],[ACA Number]],Table12716313749617385[NAT Number],Table12716313749617385[TT race points])</f>
        <v>#N/A</v>
      </c>
      <c r="AC3" cm="1">
        <f t="array" ref="AC3">_xlfn.LET(_xlpm.r,Table124161186[[#This Row],[PM SL1]:[MF SL]],_xlpm.m,_xlfn.AGGREGATE(15,6,_xlpm.r/(_xlpm.r&lt;&gt;999.99),1),IFERROR(_xlpm.m,999.99))</f>
        <v>999.99</v>
      </c>
      <c r="AD3" cm="1">
        <f t="array" ref="AD3">_xlfn.LET(_xlpm.r,Table124161186[[#This Row],[PM SL1]:[MF SL]],_xlpm.m,_xlfn.AGGREGATE(15,6,_xlpm.r/(_xlpm.r&lt;&gt;999.99),2),IFERROR(_xlpm.m,999.99))</f>
        <v>999.99</v>
      </c>
      <c r="AF3">
        <v>109954</v>
      </c>
      <c r="AG3" t="s">
        <v>769</v>
      </c>
      <c r="AH3" t="s">
        <v>770</v>
      </c>
      <c r="AI3" t="e">
        <f>_xlfn.XLOOKUP(Table125162187[[#This Row],[ACA Number]],Table127163137496173[NAT Number],Table127163137496173[TT race points])</f>
        <v>#N/A</v>
      </c>
      <c r="AJ3" t="e">
        <f>_xlfn.XLOOKUP(Table125162187[[#This Row],[ACA Number]],Table127163137496173109[NAT Number],Table127163137496173109[TT race points])</f>
        <v>#N/A</v>
      </c>
      <c r="AK3" t="e">
        <f>_xlfn.XLOOKUP(Table125162187[[#This Row],[ACA Number]],Table127163137496173109115[NAT Number],Table127163137496173109115[TT race points])</f>
        <v>#N/A</v>
      </c>
      <c r="AL3" cm="1">
        <f t="array" ref="AL3">_xlfn.LET(_xlpm.r,Table125162187[[#This Row],[CM GS1]:[MF GS]],_xlpm.m,_xlfn.AGGREGATE(15,6,_xlpm.r/(_xlpm.r&lt;&gt;999.99),1),IFERROR(_xlpm.m,999.99))</f>
        <v>999.99</v>
      </c>
      <c r="AM3" cm="1">
        <f t="array" ref="AM3">_xlfn.LET(_xlpm.r,Table125162187[[#This Row],[CM GS1]:[MF GS]],_xlpm.m,_xlfn.AGGREGATE(15,6,_xlpm.r/(_xlpm.r&lt;&gt;999.99),2),IFERROR(_xlpm.m,999.99))</f>
        <v>999.99</v>
      </c>
      <c r="AO3">
        <v>119078</v>
      </c>
      <c r="AP3" t="s">
        <v>788</v>
      </c>
      <c r="AQ3" t="s">
        <v>770</v>
      </c>
      <c r="AR3">
        <f>_xlfn.XLOOKUP(Table126163188[[#This Row],[ACA Number]],Table121158183[ACA Number],Table121158183[Best 1 run SL race])</f>
        <v>57.45</v>
      </c>
      <c r="AS3">
        <f>_xlfn.XLOOKUP(Table126163188[[#This Row],[ACA Number]],Table123160185[ACA Number],Table123160185[Best 1 Run])</f>
        <v>0</v>
      </c>
      <c r="AT3">
        <f>_xlfn.XLOOKUP(Table126163188[[#This Row],[ACA Number]],Table124161186[ACA Number],Table124161186[Best result],)</f>
        <v>82.17</v>
      </c>
      <c r="AU3">
        <f>_xlfn.XLOOKUP(Table126163188[[#This Row],[ACA Number]],Table124161186[ACA Number],Table124161186[2nd Best Result])</f>
        <v>91.57</v>
      </c>
      <c r="AV3">
        <f>_xlfn.XLOOKUP(Table126163188[[#This Row],[ACA Number]],Table125162187[ACA Number],Table125162187[Best result])</f>
        <v>0</v>
      </c>
      <c r="AW3">
        <f>_xlfn.XLOOKUP(Table126163188[[#This Row],[ACA Number]],Table125162187[ACA Number],Table125162187[2nd Best Result])</f>
        <v>99.61</v>
      </c>
      <c r="AX3">
        <f t="shared" ref="AX3:AX22" si="0">SUM(AR3:AW3)</f>
        <v>330.8</v>
      </c>
      <c r="AY3">
        <f>_xlfn.RANK.EQ(Table126163188[[#This Row],[Total Points]],Table126163188[Total Points],1)</f>
        <v>1</v>
      </c>
    </row>
    <row r="4" spans="1:51" x14ac:dyDescent="0.3">
      <c r="A4">
        <v>107257</v>
      </c>
      <c r="B4" t="s">
        <v>771</v>
      </c>
      <c r="C4" t="s">
        <v>770</v>
      </c>
      <c r="D4">
        <f>_xlfn.XLOOKUP(Table121158183[[#This Row],[ACA Number]],Table127[NAT Number],Table127[run 1 points])</f>
        <v>196.28</v>
      </c>
      <c r="E4">
        <f>_xlfn.XLOOKUP(Table121158183[[#This Row],[ACA Number]],Table127[NAT Number],Table127[run 2 points])</f>
        <v>145.74</v>
      </c>
      <c r="F4">
        <f>_xlfn.XLOOKUP(Table121158183[[#This Row],[ACA Number]],Table12716[NAT Number],Table12716[run 1 points])</f>
        <v>145.68</v>
      </c>
      <c r="G4">
        <f>_xlfn.XLOOKUP(Table121158183[[#This Row],[ACA Number]],Table12716[NAT Number],Table12716[run 2 points])</f>
        <v>195.47</v>
      </c>
      <c r="H4">
        <f>_xlfn.XLOOKUP(Table121158183[[#This Row],[ACA Number]],Table12716313749617385[NAT Number],Table12716313749617385[run 1 points])</f>
        <v>164.99</v>
      </c>
      <c r="I4">
        <f>_xlfn.XLOOKUP(Table121158183[[#This Row],[ACA Number]],Table12716313749617385[NAT Number],Table12716313749617385[run 2 points])</f>
        <v>137.99</v>
      </c>
      <c r="J4" cm="1">
        <f t="array" ref="J4">_xlfn.LET(_xlpm.r,Table121158183[[#This Row],[PM SL1 R1]:[MF SL1 R2]],_xlpm.m,_xlfn.AGGREGATE(15,6,_xlpm.r/(_xlpm.r&lt;&gt;999.99),1),IFERROR(_xlpm.m,999.99))</f>
        <v>137.99</v>
      </c>
      <c r="L4">
        <v>107257</v>
      </c>
      <c r="M4" t="s">
        <v>771</v>
      </c>
      <c r="N4" t="s">
        <v>770</v>
      </c>
      <c r="O4">
        <f>_xlfn.XLOOKUP(Table123160185[[#This Row],[ACA Number]],Table127163137496173[NAT Number],Table127163137496173[run 1 points])</f>
        <v>121.41</v>
      </c>
      <c r="P4">
        <f>_xlfn.XLOOKUP(Table123160185[[#This Row],[ACA Number]],Table127163137496173[NAT Number],Table127163137496173[run 2 points])</f>
        <v>111.94</v>
      </c>
      <c r="Q4">
        <f>_xlfn.XLOOKUP(Table123160185[[#This Row],[ACA Number]],Table127163137496173109[NAT Number],Table127163137496173109[run 1 points])</f>
        <v>999.99</v>
      </c>
      <c r="R4">
        <f>_xlfn.XLOOKUP(Table123160185[[#This Row],[ACA Number]],Table127163137496173109[NAT Number],Table127163137496173109[run 2 points])</f>
        <v>283.91000000000003</v>
      </c>
      <c r="S4">
        <f>_xlfn.XLOOKUP(Table123160185[[#This Row],[ACA Number]],Table127163137496173109115[NAT Number],Table127163137496173109115[run 1 points])</f>
        <v>142.84</v>
      </c>
      <c r="T4">
        <f>_xlfn.XLOOKUP(Table123160185[[#This Row],[ACA Number]],Table127163137496173109115[NAT Number],Table127163137496173109115[run 2 points])</f>
        <v>91.48</v>
      </c>
      <c r="U4" cm="1">
        <f t="array" ref="U4">_xlfn.LET(_xlpm.r,Table123160185[[#This Row],[CM GS1 R1]:[MF GS R2]],_xlpm.m,_xlfn.AGGREGATE(15,6,_xlpm.r/(_xlpm.r&lt;&gt;999.99),1),IFERROR(_xlpm.m,999.99))</f>
        <v>91.48</v>
      </c>
      <c r="W4">
        <v>107257</v>
      </c>
      <c r="X4" t="s">
        <v>771</v>
      </c>
      <c r="Y4" t="s">
        <v>770</v>
      </c>
      <c r="Z4">
        <f>_xlfn.XLOOKUP(Table124161186[[#This Row],[ACA Number]],Table127[NAT Number],Table127[TT race points])</f>
        <v>169.37</v>
      </c>
      <c r="AA4">
        <f>_xlfn.XLOOKUP(Table124161186[[#This Row],[ACA Number]],Table12716[NAT Number],Table12716[TT race points])</f>
        <v>162.47</v>
      </c>
      <c r="AB4">
        <f>_xlfn.XLOOKUP(Table124161186[[#This Row],[ACA Number]],Table12716313749617385[NAT Number],Table12716313749617385[TT race points])</f>
        <v>150.72999999999999</v>
      </c>
      <c r="AC4" cm="1">
        <f t="array" ref="AC4">_xlfn.LET(_xlpm.r,Table124161186[[#This Row],[PM SL1]:[MF SL]],_xlpm.m,_xlfn.AGGREGATE(15,6,_xlpm.r/(_xlpm.r&lt;&gt;999.99),1),IFERROR(_xlpm.m,999.99))</f>
        <v>150.72999999999999</v>
      </c>
      <c r="AD4" cm="1">
        <f t="array" ref="AD4">_xlfn.LET(_xlpm.r,Table124161186[[#This Row],[PM SL1]:[MF SL]],_xlpm.m,_xlfn.AGGREGATE(15,6,_xlpm.r/(_xlpm.r&lt;&gt;999.99),2),IFERROR(_xlpm.m,999.99))</f>
        <v>162.47</v>
      </c>
      <c r="AF4">
        <v>107257</v>
      </c>
      <c r="AG4" t="s">
        <v>771</v>
      </c>
      <c r="AH4" t="s">
        <v>770</v>
      </c>
      <c r="AI4">
        <f>_xlfn.XLOOKUP(Table125162187[[#This Row],[ACA Number]],Table127163137496173[NAT Number],Table127163137496173[TT race points])</f>
        <v>113.09</v>
      </c>
      <c r="AJ4">
        <f>_xlfn.XLOOKUP(Table125162187[[#This Row],[ACA Number]],Table127163137496173109[NAT Number],Table127163137496173109[TT race points])</f>
        <v>999.99</v>
      </c>
      <c r="AK4">
        <f>_xlfn.XLOOKUP(Table125162187[[#This Row],[ACA Number]],Table127163137496173109115[NAT Number],Table127163137496173109115[TT race points])</f>
        <v>114.6</v>
      </c>
      <c r="AL4" cm="1">
        <f t="array" ref="AL4">_xlfn.LET(_xlpm.r,Table125162187[[#This Row],[CM GS1]:[MF GS]],_xlpm.m,_xlfn.AGGREGATE(15,6,_xlpm.r/(_xlpm.r&lt;&gt;999.99),1),IFERROR(_xlpm.m,999.99))</f>
        <v>113.09</v>
      </c>
      <c r="AM4" cm="1">
        <f t="array" ref="AM4">_xlfn.LET(_xlpm.r,Table125162187[[#This Row],[CM GS1]:[MF GS]],_xlpm.m,_xlfn.AGGREGATE(15,6,_xlpm.r/(_xlpm.r&lt;&gt;999.99),2),IFERROR(_xlpm.m,999.99))</f>
        <v>114.6</v>
      </c>
      <c r="AO4">
        <v>115872</v>
      </c>
      <c r="AP4" t="s">
        <v>772</v>
      </c>
      <c r="AQ4" t="s">
        <v>770</v>
      </c>
      <c r="AR4">
        <f>_xlfn.XLOOKUP(Table126163188[[#This Row],[ACA Number]],Table121158183[ACA Number],Table121158183[Best 1 run SL race])</f>
        <v>56.48</v>
      </c>
      <c r="AS4">
        <f>_xlfn.XLOOKUP(Table126163188[[#This Row],[ACA Number]],Table123160185[ACA Number],Table123160185[Best 1 Run])</f>
        <v>18.3</v>
      </c>
      <c r="AT4">
        <f>_xlfn.XLOOKUP(Table126163188[[#This Row],[ACA Number]],Table124161186[ACA Number],Table124161186[Best result],)</f>
        <v>58.96</v>
      </c>
      <c r="AU4">
        <f>_xlfn.XLOOKUP(Table126163188[[#This Row],[ACA Number]],Table124161186[ACA Number],Table124161186[2nd Best Result])</f>
        <v>150.72</v>
      </c>
      <c r="AV4">
        <f>_xlfn.XLOOKUP(Table126163188[[#This Row],[ACA Number]],Table125162187[ACA Number],Table125162187[Best result])</f>
        <v>22.78</v>
      </c>
      <c r="AW4">
        <f>_xlfn.XLOOKUP(Table126163188[[#This Row],[ACA Number]],Table125162187[ACA Number],Table125162187[2nd Best Result])</f>
        <v>69.95</v>
      </c>
      <c r="AX4">
        <f t="shared" si="0"/>
        <v>377.19</v>
      </c>
      <c r="AY4">
        <f>_xlfn.RANK.EQ(Table126163188[[#This Row],[Total Points]],Table126163188[Total Points],1)</f>
        <v>2</v>
      </c>
    </row>
    <row r="5" spans="1:51" x14ac:dyDescent="0.3">
      <c r="A5">
        <v>115872</v>
      </c>
      <c r="B5" t="s">
        <v>772</v>
      </c>
      <c r="C5" t="s">
        <v>770</v>
      </c>
      <c r="D5">
        <f>_xlfn.XLOOKUP(Table121158183[[#This Row],[ACA Number]],Table127[NAT Number],Table127[run 1 points])</f>
        <v>182.13</v>
      </c>
      <c r="E5">
        <f>_xlfn.XLOOKUP(Table121158183[[#This Row],[ACA Number]],Table127[NAT Number],Table127[run 2 points])</f>
        <v>999.99</v>
      </c>
      <c r="F5">
        <f>_xlfn.XLOOKUP(Table121158183[[#This Row],[ACA Number]],Table12716[NAT Number],Table12716[run 1 points])</f>
        <v>155.30000000000001</v>
      </c>
      <c r="G5">
        <f>_xlfn.XLOOKUP(Table121158183[[#This Row],[ACA Number]],Table12716[NAT Number],Table12716[run 2 points])</f>
        <v>161.74</v>
      </c>
      <c r="H5">
        <f>_xlfn.XLOOKUP(Table121158183[[#This Row],[ACA Number]],Table12716313749617385[NAT Number],Table12716313749617385[run 1 points])</f>
        <v>61.73</v>
      </c>
      <c r="I5">
        <f>_xlfn.XLOOKUP(Table121158183[[#This Row],[ACA Number]],Table12716313749617385[NAT Number],Table12716313749617385[run 2 points])</f>
        <v>56.48</v>
      </c>
      <c r="J5" cm="1">
        <f t="array" ref="J5">_xlfn.LET(_xlpm.r,Table121158183[[#This Row],[PM SL1 R1]:[MF SL1 R2]],_xlpm.m,_xlfn.AGGREGATE(15,6,_xlpm.r/(_xlpm.r&lt;&gt;999.99),1),IFERROR(_xlpm.m,999.99))</f>
        <v>56.48</v>
      </c>
      <c r="L5">
        <v>115872</v>
      </c>
      <c r="M5" t="s">
        <v>772</v>
      </c>
      <c r="N5" t="s">
        <v>770</v>
      </c>
      <c r="O5">
        <f>_xlfn.XLOOKUP(Table123160185[[#This Row],[ACA Number]],Table127163137496173[NAT Number],Table127163137496173[run 1 points])</f>
        <v>78.459999999999994</v>
      </c>
      <c r="P5">
        <f>_xlfn.XLOOKUP(Table123160185[[#This Row],[ACA Number]],Table127163137496173[NAT Number],Table127163137496173[run 2 points])</f>
        <v>68.31</v>
      </c>
      <c r="Q5">
        <f>_xlfn.XLOOKUP(Table123160185[[#This Row],[ACA Number]],Table127163137496173109[NAT Number],Table127163137496173109[run 1 points])</f>
        <v>247.25</v>
      </c>
      <c r="R5">
        <f>_xlfn.XLOOKUP(Table123160185[[#This Row],[ACA Number]],Table127163137496173109[NAT Number],Table127163137496173109[run 2 points])</f>
        <v>208.97</v>
      </c>
      <c r="S5">
        <f>_xlfn.XLOOKUP(Table123160185[[#This Row],[ACA Number]],Table127163137496173109115[NAT Number],Table127163137496173109115[run 1 points])</f>
        <v>31.52</v>
      </c>
      <c r="T5">
        <f>_xlfn.XLOOKUP(Table123160185[[#This Row],[ACA Number]],Table127163137496173109115[NAT Number],Table127163137496173109115[run 2 points])</f>
        <v>18.3</v>
      </c>
      <c r="U5" cm="1">
        <f t="array" ref="U5">_xlfn.LET(_xlpm.r,Table123160185[[#This Row],[CM GS1 R1]:[MF GS R2]],_xlpm.m,_xlfn.AGGREGATE(15,6,_xlpm.r/(_xlpm.r&lt;&gt;999.99),1),IFERROR(_xlpm.m,999.99))</f>
        <v>18.3</v>
      </c>
      <c r="W5">
        <v>115872</v>
      </c>
      <c r="X5" t="s">
        <v>772</v>
      </c>
      <c r="Y5" t="s">
        <v>770</v>
      </c>
      <c r="Z5">
        <f>_xlfn.XLOOKUP(Table124161186[[#This Row],[ACA Number]],Table127[NAT Number],Table127[TT race points])</f>
        <v>999.99</v>
      </c>
      <c r="AA5">
        <f>_xlfn.XLOOKUP(Table124161186[[#This Row],[ACA Number]],Table12716[NAT Number],Table12716[TT race points])</f>
        <v>150.72</v>
      </c>
      <c r="AB5">
        <f>_xlfn.XLOOKUP(Table124161186[[#This Row],[ACA Number]],Table12716313749617385[NAT Number],Table12716313749617385[TT race points])</f>
        <v>58.96</v>
      </c>
      <c r="AC5" cm="1">
        <f t="array" ref="AC5">_xlfn.LET(_xlpm.r,Table124161186[[#This Row],[PM SL1]:[MF SL]],_xlpm.m,_xlfn.AGGREGATE(15,6,_xlpm.r/(_xlpm.r&lt;&gt;999.99),1),IFERROR(_xlpm.m,999.99))</f>
        <v>58.96</v>
      </c>
      <c r="AD5" cm="1">
        <f t="array" ref="AD5">_xlfn.LET(_xlpm.r,Table124161186[[#This Row],[PM SL1]:[MF SL]],_xlpm.m,_xlfn.AGGREGATE(15,6,_xlpm.r/(_xlpm.r&lt;&gt;999.99),2),IFERROR(_xlpm.m,999.99))</f>
        <v>150.72</v>
      </c>
      <c r="AF5">
        <v>115872</v>
      </c>
      <c r="AG5" t="s">
        <v>772</v>
      </c>
      <c r="AH5" t="s">
        <v>770</v>
      </c>
      <c r="AI5">
        <f>_xlfn.XLOOKUP(Table125162187[[#This Row],[ACA Number]],Table127163137496173[NAT Number],Table127163137496173[TT race points])</f>
        <v>69.95</v>
      </c>
      <c r="AJ5">
        <f>_xlfn.XLOOKUP(Table125162187[[#This Row],[ACA Number]],Table127163137496173109[NAT Number],Table127163137496173109[TT race points])</f>
        <v>227.23</v>
      </c>
      <c r="AK5">
        <f>_xlfn.XLOOKUP(Table125162187[[#This Row],[ACA Number]],Table127163137496173109115[NAT Number],Table127163137496173109115[TT race points])</f>
        <v>22.78</v>
      </c>
      <c r="AL5" cm="1">
        <f t="array" ref="AL5">_xlfn.LET(_xlpm.r,Table125162187[[#This Row],[CM GS1]:[MF GS]],_xlpm.m,_xlfn.AGGREGATE(15,6,_xlpm.r/(_xlpm.r&lt;&gt;999.99),1),IFERROR(_xlpm.m,999.99))</f>
        <v>22.78</v>
      </c>
      <c r="AM5" cm="1">
        <f t="array" ref="AM5">_xlfn.LET(_xlpm.r,Table125162187[[#This Row],[CM GS1]:[MF GS]],_xlpm.m,_xlfn.AGGREGATE(15,6,_xlpm.r/(_xlpm.r&lt;&gt;999.99),2),IFERROR(_xlpm.m,999.99))</f>
        <v>69.95</v>
      </c>
      <c r="AO5">
        <v>107257</v>
      </c>
      <c r="AP5" t="s">
        <v>771</v>
      </c>
      <c r="AQ5" t="s">
        <v>770</v>
      </c>
      <c r="AR5">
        <f>_xlfn.XLOOKUP(Table126163188[[#This Row],[ACA Number]],Table121158183[ACA Number],Table121158183[Best 1 run SL race])</f>
        <v>137.99</v>
      </c>
      <c r="AS5">
        <f>_xlfn.XLOOKUP(Table126163188[[#This Row],[ACA Number]],Table123160185[ACA Number],Table123160185[Best 1 Run])</f>
        <v>91.48</v>
      </c>
      <c r="AT5">
        <f>_xlfn.XLOOKUP(Table126163188[[#This Row],[ACA Number]],Table124161186[ACA Number],Table124161186[Best result],)</f>
        <v>150.72999999999999</v>
      </c>
      <c r="AU5">
        <f>_xlfn.XLOOKUP(Table126163188[[#This Row],[ACA Number]],Table124161186[ACA Number],Table124161186[2nd Best Result])</f>
        <v>162.47</v>
      </c>
      <c r="AV5">
        <f>_xlfn.XLOOKUP(Table126163188[[#This Row],[ACA Number]],Table125162187[ACA Number],Table125162187[Best result])</f>
        <v>113.09</v>
      </c>
      <c r="AW5">
        <f>_xlfn.XLOOKUP(Table126163188[[#This Row],[ACA Number]],Table125162187[ACA Number],Table125162187[2nd Best Result])</f>
        <v>114.6</v>
      </c>
      <c r="AX5">
        <f t="shared" si="0"/>
        <v>770.36000000000013</v>
      </c>
      <c r="AY5">
        <f>_xlfn.RANK.EQ(Table126163188[[#This Row],[Total Points]],Table126163188[Total Points],1)</f>
        <v>3</v>
      </c>
    </row>
    <row r="6" spans="1:51" x14ac:dyDescent="0.3">
      <c r="A6">
        <v>121964</v>
      </c>
      <c r="B6" t="s">
        <v>773</v>
      </c>
      <c r="C6" t="s">
        <v>770</v>
      </c>
      <c r="D6" t="e">
        <f>_xlfn.XLOOKUP(Table121158183[[#This Row],[ACA Number]],Table127[NAT Number],Table127[run 1 points])</f>
        <v>#N/A</v>
      </c>
      <c r="E6" t="e">
        <f>_xlfn.XLOOKUP(Table121158183[[#This Row],[ACA Number]],Table127[NAT Number],Table127[run 2 points])</f>
        <v>#N/A</v>
      </c>
      <c r="F6" t="e">
        <f>_xlfn.XLOOKUP(Table121158183[[#This Row],[ACA Number]],Table12716[NAT Number],Table12716[run 1 points])</f>
        <v>#N/A</v>
      </c>
      <c r="G6" t="e">
        <f>_xlfn.XLOOKUP(Table121158183[[#This Row],[ACA Number]],Table12716[NAT Number],Table12716[run 2 points])</f>
        <v>#N/A</v>
      </c>
      <c r="H6">
        <f>_xlfn.XLOOKUP(Table121158183[[#This Row],[ACA Number]],Table12716313749617385[NAT Number],Table12716313749617385[run 1 points])</f>
        <v>235.84</v>
      </c>
      <c r="I6">
        <f>_xlfn.XLOOKUP(Table121158183[[#This Row],[ACA Number]],Table12716313749617385[NAT Number],Table12716313749617385[run 2 points])</f>
        <v>236.1</v>
      </c>
      <c r="J6" cm="1">
        <f t="array" ref="J6">_xlfn.LET(_xlpm.r,Table121158183[[#This Row],[PM SL1 R1]:[MF SL1 R2]],_xlpm.m,_xlfn.AGGREGATE(15,6,_xlpm.r/(_xlpm.r&lt;&gt;999.99),1),IFERROR(_xlpm.m,999.99))</f>
        <v>235.84</v>
      </c>
      <c r="L6">
        <v>121964</v>
      </c>
      <c r="M6" t="s">
        <v>773</v>
      </c>
      <c r="N6" t="s">
        <v>770</v>
      </c>
      <c r="O6">
        <f>_xlfn.XLOOKUP(Table123160185[[#This Row],[ACA Number]],Table127163137496173[NAT Number],Table127163137496173[run 1 points])</f>
        <v>999.99</v>
      </c>
      <c r="P6">
        <f>_xlfn.XLOOKUP(Table123160185[[#This Row],[ACA Number]],Table127163137496173[NAT Number],Table127163137496173[run 2 points])</f>
        <v>290.45999999999998</v>
      </c>
      <c r="Q6">
        <f>_xlfn.XLOOKUP(Table123160185[[#This Row],[ACA Number]],Table127163137496173109[NAT Number],Table127163137496173109[run 1 points])</f>
        <v>464.15</v>
      </c>
      <c r="R6">
        <f>_xlfn.XLOOKUP(Table123160185[[#This Row],[ACA Number]],Table127163137496173109[NAT Number],Table127163137496173109[run 2 points])</f>
        <v>464.91</v>
      </c>
      <c r="S6">
        <f>_xlfn.XLOOKUP(Table123160185[[#This Row],[ACA Number]],Table127163137496173109115[NAT Number],Table127163137496173109115[run 1 points])</f>
        <v>205.68</v>
      </c>
      <c r="T6">
        <f>_xlfn.XLOOKUP(Table123160185[[#This Row],[ACA Number]],Table127163137496173109115[NAT Number],Table127163137496173109115[run 2 points])</f>
        <v>205.78</v>
      </c>
      <c r="U6" cm="1">
        <f t="array" ref="U6">_xlfn.LET(_xlpm.r,Table123160185[[#This Row],[CM GS1 R1]:[MF GS R2]],_xlpm.m,_xlfn.AGGREGATE(15,6,_xlpm.r/(_xlpm.r&lt;&gt;999.99),1),IFERROR(_xlpm.m,999.99))</f>
        <v>205.68</v>
      </c>
      <c r="W6">
        <v>121964</v>
      </c>
      <c r="X6" t="s">
        <v>773</v>
      </c>
      <c r="Y6" t="s">
        <v>770</v>
      </c>
      <c r="Z6" t="e">
        <f>_xlfn.XLOOKUP(Table124161186[[#This Row],[ACA Number]],Table127[NAT Number],Table127[TT race points])</f>
        <v>#N/A</v>
      </c>
      <c r="AA6" t="e">
        <f>_xlfn.XLOOKUP(Table124161186[[#This Row],[ACA Number]],Table12716[NAT Number],Table12716[TT race points])</f>
        <v>#N/A</v>
      </c>
      <c r="AB6">
        <f>_xlfn.XLOOKUP(Table124161186[[#This Row],[ACA Number]],Table12716313749617385[NAT Number],Table12716313749617385[TT race points])</f>
        <v>235.98</v>
      </c>
      <c r="AC6" cm="1">
        <f t="array" ref="AC6">_xlfn.LET(_xlpm.r,Table124161186[[#This Row],[PM SL1]:[MF SL]],_xlpm.m,_xlfn.AGGREGATE(15,6,_xlpm.r/(_xlpm.r&lt;&gt;999.99),1),IFERROR(_xlpm.m,999.99))</f>
        <v>235.98</v>
      </c>
      <c r="AD6" cm="1">
        <f t="array" ref="AD6">_xlfn.LET(_xlpm.r,Table124161186[[#This Row],[PM SL1]:[MF SL]],_xlpm.m,_xlfn.AGGREGATE(15,6,_xlpm.r/(_xlpm.r&lt;&gt;999.99),2),IFERROR(_xlpm.m,999.99))</f>
        <v>999.99</v>
      </c>
      <c r="AF6">
        <v>121964</v>
      </c>
      <c r="AG6" t="s">
        <v>773</v>
      </c>
      <c r="AH6" t="s">
        <v>770</v>
      </c>
      <c r="AI6">
        <f>_xlfn.XLOOKUP(Table125162187[[#This Row],[ACA Number]],Table127163137496173[NAT Number],Table127163137496173[TT race points])</f>
        <v>999.99</v>
      </c>
      <c r="AJ6">
        <f>_xlfn.XLOOKUP(Table125162187[[#This Row],[ACA Number]],Table127163137496173109[NAT Number],Table127163137496173109[TT race points])</f>
        <v>464.55</v>
      </c>
      <c r="AK6">
        <f>_xlfn.XLOOKUP(Table125162187[[#This Row],[ACA Number]],Table127163137496173109115[NAT Number],Table127163137496173109115[TT race points])</f>
        <v>203.33</v>
      </c>
      <c r="AL6" cm="1">
        <f t="array" ref="AL6">_xlfn.LET(_xlpm.r,Table125162187[[#This Row],[CM GS1]:[MF GS]],_xlpm.m,_xlfn.AGGREGATE(15,6,_xlpm.r/(_xlpm.r&lt;&gt;999.99),1),IFERROR(_xlpm.m,999.99))</f>
        <v>203.33</v>
      </c>
      <c r="AM6" cm="1">
        <f t="array" ref="AM6">_xlfn.LET(_xlpm.r,Table125162187[[#This Row],[CM GS1]:[MF GS]],_xlpm.m,_xlfn.AGGREGATE(15,6,_xlpm.r/(_xlpm.r&lt;&gt;999.99),2),IFERROR(_xlpm.m,999.99))</f>
        <v>464.55</v>
      </c>
      <c r="AO6">
        <v>120809</v>
      </c>
      <c r="AP6" t="s">
        <v>774</v>
      </c>
      <c r="AQ6" t="s">
        <v>770</v>
      </c>
      <c r="AR6">
        <f>_xlfn.XLOOKUP(Table126163188[[#This Row],[ACA Number]],Table121158183[ACA Number],Table121158183[Best 1 run SL race])</f>
        <v>249.79</v>
      </c>
      <c r="AS6">
        <f>_xlfn.XLOOKUP(Table126163188[[#This Row],[ACA Number]],Table123160185[ACA Number],Table123160185[Best 1 Run])</f>
        <v>191.42</v>
      </c>
      <c r="AT6">
        <f>_xlfn.XLOOKUP(Table126163188[[#This Row],[ACA Number]],Table124161186[ACA Number],Table124161186[Best result],)</f>
        <v>254.66</v>
      </c>
      <c r="AU6">
        <f>_xlfn.XLOOKUP(Table126163188[[#This Row],[ACA Number]],Table124161186[ACA Number],Table124161186[2nd Best Result])</f>
        <v>270.75</v>
      </c>
      <c r="AV6">
        <f>_xlfn.XLOOKUP(Table126163188[[#This Row],[ACA Number]],Table125162187[ACA Number],Table125162187[Best result])</f>
        <v>305.79000000000002</v>
      </c>
      <c r="AW6">
        <f>_xlfn.XLOOKUP(Table126163188[[#This Row],[ACA Number]],Table125162187[ACA Number],Table125162187[2nd Best Result])</f>
        <v>320.95999999999998</v>
      </c>
      <c r="AX6">
        <f t="shared" si="0"/>
        <v>1593.3700000000001</v>
      </c>
      <c r="AY6">
        <f>_xlfn.RANK.EQ(Table126163188[[#This Row],[Total Points]],Table126163188[Total Points],1)</f>
        <v>6</v>
      </c>
    </row>
    <row r="7" spans="1:51" x14ac:dyDescent="0.3">
      <c r="A7">
        <v>120809</v>
      </c>
      <c r="B7" t="s">
        <v>774</v>
      </c>
      <c r="C7" t="s">
        <v>770</v>
      </c>
      <c r="D7">
        <f>_xlfn.XLOOKUP(Table121158183[[#This Row],[ACA Number]],Table127[NAT Number],Table127[run 1 points])</f>
        <v>410.7</v>
      </c>
      <c r="E7">
        <f>_xlfn.XLOOKUP(Table121158183[[#This Row],[ACA Number]],Table127[NAT Number],Table127[run 2 points])</f>
        <v>288.7</v>
      </c>
      <c r="F7">
        <f>_xlfn.XLOOKUP(Table121158183[[#This Row],[ACA Number]],Table12716[NAT Number],Table12716[run 1 points])</f>
        <v>261.57</v>
      </c>
      <c r="G7">
        <f>_xlfn.XLOOKUP(Table121158183[[#This Row],[ACA Number]],Table12716[NAT Number],Table12716[run 2 points])</f>
        <v>297.94</v>
      </c>
      <c r="H7">
        <f>_xlfn.XLOOKUP(Table121158183[[#This Row],[ACA Number]],Table12716313749617385[NAT Number],Table12716313749617385[run 1 points])</f>
        <v>260.11</v>
      </c>
      <c r="I7">
        <f>_xlfn.XLOOKUP(Table121158183[[#This Row],[ACA Number]],Table12716313749617385[NAT Number],Table12716313749617385[run 2 points])</f>
        <v>249.79</v>
      </c>
      <c r="J7" cm="1">
        <f t="array" ref="J7">_xlfn.LET(_xlpm.r,Table121158183[[#This Row],[PM SL1 R1]:[MF SL1 R2]],_xlpm.m,_xlfn.AGGREGATE(15,6,_xlpm.r/(_xlpm.r&lt;&gt;999.99),1),IFERROR(_xlpm.m,999.99))</f>
        <v>249.79</v>
      </c>
      <c r="L7">
        <v>120809</v>
      </c>
      <c r="M7" t="s">
        <v>774</v>
      </c>
      <c r="N7" t="s">
        <v>770</v>
      </c>
      <c r="O7">
        <f>_xlfn.XLOOKUP(Table123160185[[#This Row],[ACA Number]],Table127163137496173[NAT Number],Table127163137496173[run 1 points])</f>
        <v>340.22</v>
      </c>
      <c r="P7">
        <f>_xlfn.XLOOKUP(Table123160185[[#This Row],[ACA Number]],Table127163137496173[NAT Number],Table127163137496173[run 2 points])</f>
        <v>309.97000000000003</v>
      </c>
      <c r="Q7">
        <f>_xlfn.XLOOKUP(Table123160185[[#This Row],[ACA Number]],Table127163137496173109[NAT Number],Table127163137496173109[run 1 points])</f>
        <v>315.83</v>
      </c>
      <c r="R7">
        <f>_xlfn.XLOOKUP(Table123160185[[#This Row],[ACA Number]],Table127163137496173109[NAT Number],Table127163137496173109[run 2 points])</f>
        <v>296.63</v>
      </c>
      <c r="S7">
        <f>_xlfn.XLOOKUP(Table123160185[[#This Row],[ACA Number]],Table127163137496173109115[NAT Number],Table127163137496173109115[run 1 points])</f>
        <v>999.99</v>
      </c>
      <c r="T7">
        <f>_xlfn.XLOOKUP(Table123160185[[#This Row],[ACA Number]],Table127163137496173109115[NAT Number],Table127163137496173109115[run 2 points])</f>
        <v>191.42</v>
      </c>
      <c r="U7" cm="1">
        <f t="array" ref="U7">_xlfn.LET(_xlpm.r,Table123160185[[#This Row],[CM GS1 R1]:[MF GS R2]],_xlpm.m,_xlfn.AGGREGATE(15,6,_xlpm.r/(_xlpm.r&lt;&gt;999.99),1),IFERROR(_xlpm.m,999.99))</f>
        <v>191.42</v>
      </c>
      <c r="W7">
        <v>120809</v>
      </c>
      <c r="X7" t="s">
        <v>774</v>
      </c>
      <c r="Y7" t="s">
        <v>770</v>
      </c>
      <c r="Z7">
        <f>_xlfn.XLOOKUP(Table124161186[[#This Row],[ACA Number]],Table127[NAT Number],Table127[TT race points])</f>
        <v>345.74</v>
      </c>
      <c r="AA7">
        <f>_xlfn.XLOOKUP(Table124161186[[#This Row],[ACA Number]],Table12716[NAT Number],Table12716[TT race points])</f>
        <v>270.75</v>
      </c>
      <c r="AB7">
        <f>_xlfn.XLOOKUP(Table124161186[[#This Row],[ACA Number]],Table12716313749617385[NAT Number],Table12716313749617385[TT race points])</f>
        <v>254.66</v>
      </c>
      <c r="AC7" cm="1">
        <f t="array" ref="AC7">_xlfn.LET(_xlpm.r,Table124161186[[#This Row],[PM SL1]:[MF SL]],_xlpm.m,_xlfn.AGGREGATE(15,6,_xlpm.r/(_xlpm.r&lt;&gt;999.99),1),IFERROR(_xlpm.m,999.99))</f>
        <v>254.66</v>
      </c>
      <c r="AD7" cm="1">
        <f t="array" ref="AD7">_xlfn.LET(_xlpm.r,Table124161186[[#This Row],[PM SL1]:[MF SL]],_xlpm.m,_xlfn.AGGREGATE(15,6,_xlpm.r/(_xlpm.r&lt;&gt;999.99),2),IFERROR(_xlpm.m,999.99))</f>
        <v>270.75</v>
      </c>
      <c r="AF7">
        <v>120809</v>
      </c>
      <c r="AG7" t="s">
        <v>774</v>
      </c>
      <c r="AH7" t="s">
        <v>770</v>
      </c>
      <c r="AI7">
        <f>_xlfn.XLOOKUP(Table125162187[[#This Row],[ACA Number]],Table127163137496173[NAT Number],Table127163137496173[TT race points])</f>
        <v>320.95999999999998</v>
      </c>
      <c r="AJ7">
        <f>_xlfn.XLOOKUP(Table125162187[[#This Row],[ACA Number]],Table127163137496173109[NAT Number],Table127163137496173109[TT race points])</f>
        <v>305.79000000000002</v>
      </c>
      <c r="AK7">
        <f>_xlfn.XLOOKUP(Table125162187[[#This Row],[ACA Number]],Table127163137496173109115[NAT Number],Table127163137496173109115[TT race points])</f>
        <v>999.99</v>
      </c>
      <c r="AL7" cm="1">
        <f t="array" ref="AL7">_xlfn.LET(_xlpm.r,Table125162187[[#This Row],[CM GS1]:[MF GS]],_xlpm.m,_xlfn.AGGREGATE(15,6,_xlpm.r/(_xlpm.r&lt;&gt;999.99),1),IFERROR(_xlpm.m,999.99))</f>
        <v>305.79000000000002</v>
      </c>
      <c r="AM7" cm="1">
        <f t="array" ref="AM7">_xlfn.LET(_xlpm.r,Table125162187[[#This Row],[CM GS1]:[MF GS]],_xlpm.m,_xlfn.AGGREGATE(15,6,_xlpm.r/(_xlpm.r&lt;&gt;999.99),2),IFERROR(_xlpm.m,999.99))</f>
        <v>320.95999999999998</v>
      </c>
      <c r="AO7">
        <v>120661</v>
      </c>
      <c r="AP7" t="s">
        <v>787</v>
      </c>
      <c r="AQ7" t="s">
        <v>770</v>
      </c>
      <c r="AR7">
        <f>_xlfn.XLOOKUP(Table126163188[[#This Row],[ACA Number]],Table121158183[ACA Number],Table121158183[Best 1 run SL race])</f>
        <v>91.85</v>
      </c>
      <c r="AS7">
        <f>_xlfn.XLOOKUP(Table126163188[[#This Row],[ACA Number]],Table123160185[ACA Number],Table123160185[Best 1 Run])</f>
        <v>33.840000000000003</v>
      </c>
      <c r="AT7">
        <f>_xlfn.XLOOKUP(Table126163188[[#This Row],[ACA Number]],Table124161186[ACA Number],Table124161186[Best result],)</f>
        <v>93.39</v>
      </c>
      <c r="AU7">
        <f>_xlfn.XLOOKUP(Table126163188[[#This Row],[ACA Number]],Table124161186[ACA Number],Table124161186[2nd Best Result])</f>
        <v>316.77999999999997</v>
      </c>
      <c r="AV7">
        <f>_xlfn.XLOOKUP(Table126163188[[#This Row],[ACA Number]],Table125162187[ACA Number],Table125162187[Best result])</f>
        <v>58</v>
      </c>
      <c r="AW7">
        <f>_xlfn.XLOOKUP(Table126163188[[#This Row],[ACA Number]],Table125162187[ACA Number],Table125162187[2nd Best Result])</f>
        <v>182.13</v>
      </c>
      <c r="AX7">
        <f t="shared" si="0"/>
        <v>775.9899999999999</v>
      </c>
      <c r="AY7">
        <f>_xlfn.RANK.EQ(Table126163188[[#This Row],[Total Points]],Table126163188[Total Points],1)</f>
        <v>4</v>
      </c>
    </row>
    <row r="8" spans="1:51" x14ac:dyDescent="0.3">
      <c r="A8">
        <v>120666</v>
      </c>
      <c r="B8" t="s">
        <v>775</v>
      </c>
      <c r="C8" t="s">
        <v>770</v>
      </c>
      <c r="D8" t="e">
        <f>_xlfn.XLOOKUP(Table121158183[[#This Row],[ACA Number]],Table127[NAT Number],Table127[run 1 points])</f>
        <v>#N/A</v>
      </c>
      <c r="E8" t="e">
        <f>_xlfn.XLOOKUP(Table121158183[[#This Row],[ACA Number]],Table127[NAT Number],Table127[run 2 points])</f>
        <v>#N/A</v>
      </c>
      <c r="F8" t="e">
        <f>_xlfn.XLOOKUP(Table121158183[[#This Row],[ACA Number]],Table12716[NAT Number],Table12716[run 1 points])</f>
        <v>#N/A</v>
      </c>
      <c r="G8" t="e">
        <f>_xlfn.XLOOKUP(Table121158183[[#This Row],[ACA Number]],Table12716[NAT Number],Table12716[run 2 points])</f>
        <v>#N/A</v>
      </c>
      <c r="H8" t="e">
        <f>_xlfn.XLOOKUP(Table121158183[[#This Row],[ACA Number]],Table12716313749617385[NAT Number],Table12716313749617385[run 1 points])</f>
        <v>#N/A</v>
      </c>
      <c r="I8" t="e">
        <f>_xlfn.XLOOKUP(Table121158183[[#This Row],[ACA Number]],Table12716313749617385[NAT Number],Table12716313749617385[run 2 points])</f>
        <v>#N/A</v>
      </c>
      <c r="J8" cm="1">
        <f t="array" ref="J8">_xlfn.LET(_xlpm.r,Table121158183[[#This Row],[PM SL1 R1]:[MF SL1 R2]],_xlpm.m,_xlfn.AGGREGATE(15,6,_xlpm.r/(_xlpm.r&lt;&gt;999.99),1),IFERROR(_xlpm.m,999.99))</f>
        <v>999.99</v>
      </c>
      <c r="L8">
        <v>120666</v>
      </c>
      <c r="M8" t="s">
        <v>775</v>
      </c>
      <c r="N8" t="s">
        <v>770</v>
      </c>
      <c r="O8">
        <f>_xlfn.XLOOKUP(Table123160185[[#This Row],[ACA Number]],Table127163137496173[NAT Number],Table127163137496173[run 1 points])</f>
        <v>999.99</v>
      </c>
      <c r="P8">
        <f>_xlfn.XLOOKUP(Table123160185[[#This Row],[ACA Number]],Table127163137496173[NAT Number],Table127163137496173[run 2 points])</f>
        <v>999.99</v>
      </c>
      <c r="Q8">
        <f>_xlfn.XLOOKUP(Table123160185[[#This Row],[ACA Number]],Table127163137496173109[NAT Number],Table127163137496173109[run 1 points])</f>
        <v>999.99</v>
      </c>
      <c r="R8">
        <f>_xlfn.XLOOKUP(Table123160185[[#This Row],[ACA Number]],Table127163137496173109[NAT Number],Table127163137496173109[run 2 points])</f>
        <v>999.99</v>
      </c>
      <c r="S8" t="e">
        <f>_xlfn.XLOOKUP(Table123160185[[#This Row],[ACA Number]],Table127163137496173109115[NAT Number],Table127163137496173109115[run 1 points])</f>
        <v>#N/A</v>
      </c>
      <c r="T8" t="e">
        <f>_xlfn.XLOOKUP(Table123160185[[#This Row],[ACA Number]],Table127163137496173109115[NAT Number],Table127163137496173109115[run 2 points])</f>
        <v>#N/A</v>
      </c>
      <c r="U8" cm="1">
        <f t="array" ref="U8">_xlfn.LET(_xlpm.r,Table123160185[[#This Row],[CM GS1 R1]:[MF GS R2]],_xlpm.m,_xlfn.AGGREGATE(15,6,_xlpm.r/(_xlpm.r&lt;&gt;999.99),1),IFERROR(_xlpm.m,999.99))</f>
        <v>999.99</v>
      </c>
      <c r="W8">
        <v>120666</v>
      </c>
      <c r="X8" t="s">
        <v>775</v>
      </c>
      <c r="Y8" t="s">
        <v>770</v>
      </c>
      <c r="Z8" t="e">
        <f>_xlfn.XLOOKUP(Table124161186[[#This Row],[ACA Number]],Table127[NAT Number],Table127[TT race points])</f>
        <v>#N/A</v>
      </c>
      <c r="AA8" t="e">
        <f>_xlfn.XLOOKUP(Table124161186[[#This Row],[ACA Number]],Table12716[NAT Number],Table12716[TT race points])</f>
        <v>#N/A</v>
      </c>
      <c r="AB8" t="e">
        <f>_xlfn.XLOOKUP(Table124161186[[#This Row],[ACA Number]],Table12716313749617385[NAT Number],Table12716313749617385[TT race points])</f>
        <v>#N/A</v>
      </c>
      <c r="AC8" cm="1">
        <f t="array" ref="AC8">_xlfn.LET(_xlpm.r,Table124161186[[#This Row],[PM SL1]:[MF SL]],_xlpm.m,_xlfn.AGGREGATE(15,6,_xlpm.r/(_xlpm.r&lt;&gt;999.99),1),IFERROR(_xlpm.m,999.99))</f>
        <v>999.99</v>
      </c>
      <c r="AD8" cm="1">
        <f t="array" ref="AD8">_xlfn.LET(_xlpm.r,Table124161186[[#This Row],[PM SL1]:[MF SL]],_xlpm.m,_xlfn.AGGREGATE(15,6,_xlpm.r/(_xlpm.r&lt;&gt;999.99),2),IFERROR(_xlpm.m,999.99))</f>
        <v>999.99</v>
      </c>
      <c r="AF8">
        <v>120666</v>
      </c>
      <c r="AG8" t="s">
        <v>775</v>
      </c>
      <c r="AH8" t="s">
        <v>770</v>
      </c>
      <c r="AI8">
        <f>_xlfn.XLOOKUP(Table125162187[[#This Row],[ACA Number]],Table127163137496173[NAT Number],Table127163137496173[TT race points])</f>
        <v>999.99</v>
      </c>
      <c r="AJ8">
        <f>_xlfn.XLOOKUP(Table125162187[[#This Row],[ACA Number]],Table127163137496173109[NAT Number],Table127163137496173109[TT race points])</f>
        <v>999.99</v>
      </c>
      <c r="AK8" t="e">
        <f>_xlfn.XLOOKUP(Table125162187[[#This Row],[ACA Number]],Table127163137496173109115[NAT Number],Table127163137496173109115[TT race points])</f>
        <v>#N/A</v>
      </c>
      <c r="AL8" cm="1">
        <f t="array" ref="AL8">_xlfn.LET(_xlpm.r,Table125162187[[#This Row],[CM GS1]:[MF GS]],_xlpm.m,_xlfn.AGGREGATE(15,6,_xlpm.r/(_xlpm.r&lt;&gt;999.99),1),IFERROR(_xlpm.m,999.99))</f>
        <v>999.99</v>
      </c>
      <c r="AM8" cm="1">
        <f t="array" ref="AM8">_xlfn.LET(_xlpm.r,Table125162187[[#This Row],[CM GS1]:[MF GS]],_xlpm.m,_xlfn.AGGREGATE(15,6,_xlpm.r/(_xlpm.r&lt;&gt;999.99),2),IFERROR(_xlpm.m,999.99))</f>
        <v>999.99</v>
      </c>
      <c r="AO8">
        <v>124078</v>
      </c>
      <c r="AP8" t="s">
        <v>785</v>
      </c>
      <c r="AQ8" t="s">
        <v>770</v>
      </c>
      <c r="AR8">
        <f>_xlfn.XLOOKUP(Table126163188[[#This Row],[ACA Number]],Table121158183[ACA Number],Table121158183[Best 1 run SL race])</f>
        <v>174.53</v>
      </c>
      <c r="AS8">
        <f>_xlfn.XLOOKUP(Table126163188[[#This Row],[ACA Number]],Table123160185[ACA Number],Table123160185[Best 1 Run])</f>
        <v>87.74</v>
      </c>
      <c r="AT8">
        <f>_xlfn.XLOOKUP(Table126163188[[#This Row],[ACA Number]],Table124161186[ACA Number],Table124161186[Best result],)</f>
        <v>175.79</v>
      </c>
      <c r="AU8">
        <f>_xlfn.XLOOKUP(Table126163188[[#This Row],[ACA Number]],Table124161186[ACA Number],Table124161186[2nd Best Result])</f>
        <v>379.91</v>
      </c>
      <c r="AV8">
        <f>_xlfn.XLOOKUP(Table126163188[[#This Row],[ACA Number]],Table125162187[ACA Number],Table125162187[Best result])</f>
        <v>111.42</v>
      </c>
      <c r="AW8">
        <f>_xlfn.XLOOKUP(Table126163188[[#This Row],[ACA Number]],Table125162187[ACA Number],Table125162187[2nd Best Result])</f>
        <v>251.16</v>
      </c>
      <c r="AX8">
        <f t="shared" si="0"/>
        <v>1180.55</v>
      </c>
      <c r="AY8">
        <f>_xlfn.RANK.EQ(Table126163188[[#This Row],[Total Points]],Table126163188[Total Points],1)</f>
        <v>5</v>
      </c>
    </row>
    <row r="9" spans="1:51" x14ac:dyDescent="0.3">
      <c r="A9">
        <v>117770</v>
      </c>
      <c r="B9" t="s">
        <v>776</v>
      </c>
      <c r="C9" t="s">
        <v>770</v>
      </c>
      <c r="D9" t="e">
        <f>_xlfn.XLOOKUP(Table121158183[[#This Row],[ACA Number]],Table127[NAT Number],Table127[run 1 points])</f>
        <v>#N/A</v>
      </c>
      <c r="E9" t="e">
        <f>_xlfn.XLOOKUP(Table121158183[[#This Row],[ACA Number]],Table127[NAT Number],Table127[run 2 points])</f>
        <v>#N/A</v>
      </c>
      <c r="F9" t="e">
        <f>_xlfn.XLOOKUP(Table121158183[[#This Row],[ACA Number]],Table12716[NAT Number],Table12716[run 1 points])</f>
        <v>#N/A</v>
      </c>
      <c r="G9" t="e">
        <f>_xlfn.XLOOKUP(Table121158183[[#This Row],[ACA Number]],Table12716[NAT Number],Table12716[run 2 points])</f>
        <v>#N/A</v>
      </c>
      <c r="H9">
        <f>_xlfn.XLOOKUP(Table121158183[[#This Row],[ACA Number]],Table12716313749617385[NAT Number],Table12716313749617385[run 1 points])</f>
        <v>318.42</v>
      </c>
      <c r="I9">
        <f>_xlfn.XLOOKUP(Table121158183[[#This Row],[ACA Number]],Table12716313749617385[NAT Number],Table12716313749617385[run 2 points])</f>
        <v>277.58999999999997</v>
      </c>
      <c r="J9" cm="1">
        <f t="array" ref="J9">_xlfn.LET(_xlpm.r,Table121158183[[#This Row],[PM SL1 R1]:[MF SL1 R2]],_xlpm.m,_xlfn.AGGREGATE(15,6,_xlpm.r/(_xlpm.r&lt;&gt;999.99),1),IFERROR(_xlpm.m,999.99))</f>
        <v>277.58999999999997</v>
      </c>
      <c r="L9">
        <v>117770</v>
      </c>
      <c r="M9" t="s">
        <v>776</v>
      </c>
      <c r="N9" t="s">
        <v>770</v>
      </c>
      <c r="O9">
        <f>_xlfn.XLOOKUP(Table123160185[[#This Row],[ACA Number]],Table127163137496173[NAT Number],Table127163137496173[run 1 points])</f>
        <v>288.14999999999998</v>
      </c>
      <c r="P9">
        <f>_xlfn.XLOOKUP(Table123160185[[#This Row],[ACA Number]],Table127163137496173[NAT Number],Table127163137496173[run 2 points])</f>
        <v>226.45</v>
      </c>
      <c r="Q9">
        <f>_xlfn.XLOOKUP(Table123160185[[#This Row],[ACA Number]],Table127163137496173109[NAT Number],Table127163137496173109[run 1 points])</f>
        <v>382.93</v>
      </c>
      <c r="R9">
        <f>_xlfn.XLOOKUP(Table123160185[[#This Row],[ACA Number]],Table127163137496173109[NAT Number],Table127163137496173109[run 2 points])</f>
        <v>309.64</v>
      </c>
      <c r="S9">
        <f>_xlfn.XLOOKUP(Table123160185[[#This Row],[ACA Number]],Table127163137496173109115[NAT Number],Table127163137496173109115[run 1 points])</f>
        <v>194.36</v>
      </c>
      <c r="T9">
        <f>_xlfn.XLOOKUP(Table123160185[[#This Row],[ACA Number]],Table127163137496173109115[NAT Number],Table127163137496173109115[run 2 points])</f>
        <v>140.66</v>
      </c>
      <c r="U9" cm="1">
        <f t="array" ref="U9">_xlfn.LET(_xlpm.r,Table123160185[[#This Row],[CM GS1 R1]:[MF GS R2]],_xlpm.m,_xlfn.AGGREGATE(15,6,_xlpm.r/(_xlpm.r&lt;&gt;999.99),1),IFERROR(_xlpm.m,999.99))</f>
        <v>140.66</v>
      </c>
      <c r="W9">
        <v>117770</v>
      </c>
      <c r="X9" t="s">
        <v>776</v>
      </c>
      <c r="Y9" t="s">
        <v>770</v>
      </c>
      <c r="Z9" t="e">
        <f>_xlfn.XLOOKUP(Table124161186[[#This Row],[ACA Number]],Table127[NAT Number],Table127[TT race points])</f>
        <v>#N/A</v>
      </c>
      <c r="AA9" t="e">
        <f>_xlfn.XLOOKUP(Table124161186[[#This Row],[ACA Number]],Table12716[NAT Number],Table12716[TT race points])</f>
        <v>#N/A</v>
      </c>
      <c r="AB9">
        <f>_xlfn.XLOOKUP(Table124161186[[#This Row],[ACA Number]],Table12716313749617385[NAT Number],Table12716313749617385[TT race points])</f>
        <v>296.86</v>
      </c>
      <c r="AC9" cm="1">
        <f t="array" ref="AC9">_xlfn.LET(_xlpm.r,Table124161186[[#This Row],[PM SL1]:[MF SL]],_xlpm.m,_xlfn.AGGREGATE(15,6,_xlpm.r/(_xlpm.r&lt;&gt;999.99),1),IFERROR(_xlpm.m,999.99))</f>
        <v>296.86</v>
      </c>
      <c r="AD9" cm="1">
        <f t="array" ref="AD9">_xlfn.LET(_xlpm.r,Table124161186[[#This Row],[PM SL1]:[MF SL]],_xlpm.m,_xlfn.AGGREGATE(15,6,_xlpm.r/(_xlpm.r&lt;&gt;999.99),2),IFERROR(_xlpm.m,999.99))</f>
        <v>999.99</v>
      </c>
      <c r="AF9">
        <v>117770</v>
      </c>
      <c r="AG9" t="s">
        <v>776</v>
      </c>
      <c r="AH9" t="s">
        <v>770</v>
      </c>
      <c r="AI9">
        <f>_xlfn.XLOOKUP(Table125162187[[#This Row],[ACA Number]],Table127163137496173[NAT Number],Table127163137496173[TT race points])</f>
        <v>253.56</v>
      </c>
      <c r="AJ9">
        <f>_xlfn.XLOOKUP(Table125162187[[#This Row],[ACA Number]],Table127163137496173109[NAT Number],Table127163137496173109[TT race points])</f>
        <v>344.6</v>
      </c>
      <c r="AK9">
        <f>_xlfn.XLOOKUP(Table125162187[[#This Row],[ACA Number]],Table127163137496173109115[NAT Number],Table127163137496173109115[TT race points])</f>
        <v>164.84</v>
      </c>
      <c r="AL9" cm="1">
        <f t="array" ref="AL9">_xlfn.LET(_xlpm.r,Table125162187[[#This Row],[CM GS1]:[MF GS]],_xlpm.m,_xlfn.AGGREGATE(15,6,_xlpm.r/(_xlpm.r&lt;&gt;999.99),1),IFERROR(_xlpm.m,999.99))</f>
        <v>164.84</v>
      </c>
      <c r="AM9" cm="1">
        <f t="array" ref="AM9">_xlfn.LET(_xlpm.r,Table125162187[[#This Row],[CM GS1]:[MF GS]],_xlpm.m,_xlfn.AGGREGATE(15,6,_xlpm.r/(_xlpm.r&lt;&gt;999.99),2),IFERROR(_xlpm.m,999.99))</f>
        <v>253.56</v>
      </c>
      <c r="AO9">
        <v>117770</v>
      </c>
      <c r="AP9" t="s">
        <v>776</v>
      </c>
      <c r="AQ9" t="s">
        <v>770</v>
      </c>
      <c r="AR9">
        <f>_xlfn.XLOOKUP(Table126163188[[#This Row],[ACA Number]],Table121158183[ACA Number],Table121158183[Best 1 run SL race])</f>
        <v>277.58999999999997</v>
      </c>
      <c r="AS9">
        <f>_xlfn.XLOOKUP(Table126163188[[#This Row],[ACA Number]],Table123160185[ACA Number],Table123160185[Best 1 Run])</f>
        <v>140.66</v>
      </c>
      <c r="AT9">
        <f>_xlfn.XLOOKUP(Table126163188[[#This Row],[ACA Number]],Table124161186[ACA Number],Table124161186[Best result],)</f>
        <v>296.86</v>
      </c>
      <c r="AU9">
        <f>_xlfn.XLOOKUP(Table126163188[[#This Row],[ACA Number]],Table124161186[ACA Number],Table124161186[2nd Best Result])</f>
        <v>999.99</v>
      </c>
      <c r="AV9">
        <f>_xlfn.XLOOKUP(Table126163188[[#This Row],[ACA Number]],Table125162187[ACA Number],Table125162187[Best result])</f>
        <v>164.84</v>
      </c>
      <c r="AW9">
        <f>_xlfn.XLOOKUP(Table126163188[[#This Row],[ACA Number]],Table125162187[ACA Number],Table125162187[2nd Best Result])</f>
        <v>253.56</v>
      </c>
      <c r="AX9">
        <f t="shared" si="0"/>
        <v>2133.5</v>
      </c>
      <c r="AY9">
        <f>_xlfn.RANK.EQ(Table126163188[[#This Row],[Total Points]],Table126163188[Total Points],1)</f>
        <v>7</v>
      </c>
    </row>
    <row r="10" spans="1:51" x14ac:dyDescent="0.3">
      <c r="A10">
        <v>109922</v>
      </c>
      <c r="B10" t="s">
        <v>777</v>
      </c>
      <c r="C10" t="s">
        <v>770</v>
      </c>
      <c r="D10">
        <f>_xlfn.XLOOKUP(Table121158183[[#This Row],[ACA Number]],Table127[NAT Number],Table127[run 1 points])</f>
        <v>655.25</v>
      </c>
      <c r="E10">
        <f>_xlfn.XLOOKUP(Table121158183[[#This Row],[ACA Number]],Table127[NAT Number],Table127[run 2 points])</f>
        <v>999.99</v>
      </c>
      <c r="F10">
        <f>_xlfn.XLOOKUP(Table121158183[[#This Row],[ACA Number]],Table12716[NAT Number],Table12716[run 1 points])</f>
        <v>718.02</v>
      </c>
      <c r="G10">
        <f>_xlfn.XLOOKUP(Table121158183[[#This Row],[ACA Number]],Table12716[NAT Number],Table12716[run 2 points])</f>
        <v>724.86</v>
      </c>
      <c r="H10" t="e">
        <f>_xlfn.XLOOKUP(Table121158183[[#This Row],[ACA Number]],Table12716313749617385[NAT Number],Table12716313749617385[run 1 points])</f>
        <v>#N/A</v>
      </c>
      <c r="I10" t="e">
        <f>_xlfn.XLOOKUP(Table121158183[[#This Row],[ACA Number]],Table12716313749617385[NAT Number],Table12716313749617385[run 2 points])</f>
        <v>#N/A</v>
      </c>
      <c r="J10" cm="1">
        <f t="array" ref="J10">_xlfn.LET(_xlpm.r,Table121158183[[#This Row],[PM SL1 R1]:[MF SL1 R2]],_xlpm.m,_xlfn.AGGREGATE(15,6,_xlpm.r/(_xlpm.r&lt;&gt;999.99),1),IFERROR(_xlpm.m,999.99))</f>
        <v>655.25</v>
      </c>
      <c r="L10">
        <v>109922</v>
      </c>
      <c r="M10" t="s">
        <v>777</v>
      </c>
      <c r="N10" t="s">
        <v>770</v>
      </c>
      <c r="O10" t="e">
        <f>_xlfn.XLOOKUP(Table123160185[[#This Row],[ACA Number]],Table127163137496173[NAT Number],Table127163137496173[run 1 points])</f>
        <v>#N/A</v>
      </c>
      <c r="P10" t="e">
        <f>_xlfn.XLOOKUP(Table123160185[[#This Row],[ACA Number]],Table127163137496173[NAT Number],Table127163137496173[run 2 points])</f>
        <v>#N/A</v>
      </c>
      <c r="Q10" t="e">
        <f>_xlfn.XLOOKUP(Table123160185[[#This Row],[ACA Number]],Table127163137496173109[NAT Number],Table127163137496173109[run 1 points])</f>
        <v>#N/A</v>
      </c>
      <c r="R10" t="e">
        <f>_xlfn.XLOOKUP(Table123160185[[#This Row],[ACA Number]],Table127163137496173109[NAT Number],Table127163137496173109[run 2 points])</f>
        <v>#N/A</v>
      </c>
      <c r="S10" t="e">
        <f>_xlfn.XLOOKUP(Table123160185[[#This Row],[ACA Number]],Table127163137496173109115[NAT Number],Table127163137496173109115[run 1 points])</f>
        <v>#N/A</v>
      </c>
      <c r="T10" t="e">
        <f>_xlfn.XLOOKUP(Table123160185[[#This Row],[ACA Number]],Table127163137496173109115[NAT Number],Table127163137496173109115[run 2 points])</f>
        <v>#N/A</v>
      </c>
      <c r="U10" cm="1">
        <f t="array" ref="U10">_xlfn.LET(_xlpm.r,Table123160185[[#This Row],[CM GS1 R1]:[MF GS R2]],_xlpm.m,_xlfn.AGGREGATE(15,6,_xlpm.r/(_xlpm.r&lt;&gt;999.99),1),IFERROR(_xlpm.m,999.99))</f>
        <v>999.99</v>
      </c>
      <c r="W10">
        <v>109922</v>
      </c>
      <c r="X10" t="s">
        <v>777</v>
      </c>
      <c r="Y10" t="s">
        <v>770</v>
      </c>
      <c r="Z10">
        <f>_xlfn.XLOOKUP(Table124161186[[#This Row],[ACA Number]],Table127[NAT Number],Table127[TT race points])</f>
        <v>999.99</v>
      </c>
      <c r="AA10">
        <f>_xlfn.XLOOKUP(Table124161186[[#This Row],[ACA Number]],Table12716[NAT Number],Table12716[TT race points])</f>
        <v>708.71</v>
      </c>
      <c r="AB10" t="e">
        <f>_xlfn.XLOOKUP(Table124161186[[#This Row],[ACA Number]],Table12716313749617385[NAT Number],Table12716313749617385[TT race points])</f>
        <v>#N/A</v>
      </c>
      <c r="AC10" cm="1">
        <f t="array" ref="AC10">_xlfn.LET(_xlpm.r,Table124161186[[#This Row],[PM SL1]:[MF SL]],_xlpm.m,_xlfn.AGGREGATE(15,6,_xlpm.r/(_xlpm.r&lt;&gt;999.99),1),IFERROR(_xlpm.m,999.99))</f>
        <v>708.71</v>
      </c>
      <c r="AD10" cm="1">
        <f t="array" ref="AD10">_xlfn.LET(_xlpm.r,Table124161186[[#This Row],[PM SL1]:[MF SL]],_xlpm.m,_xlfn.AGGREGATE(15,6,_xlpm.r/(_xlpm.r&lt;&gt;999.99),2),IFERROR(_xlpm.m,999.99))</f>
        <v>999.99</v>
      </c>
      <c r="AF10">
        <v>109922</v>
      </c>
      <c r="AG10" t="s">
        <v>777</v>
      </c>
      <c r="AH10" t="s">
        <v>770</v>
      </c>
      <c r="AI10" t="e">
        <f>_xlfn.XLOOKUP(Table125162187[[#This Row],[ACA Number]],Table127163137496173[NAT Number],Table127163137496173[TT race points])</f>
        <v>#N/A</v>
      </c>
      <c r="AJ10" t="e">
        <f>_xlfn.XLOOKUP(Table125162187[[#This Row],[ACA Number]],Table127163137496173109[NAT Number],Table127163137496173109[TT race points])</f>
        <v>#N/A</v>
      </c>
      <c r="AK10" t="e">
        <f>_xlfn.XLOOKUP(Table125162187[[#This Row],[ACA Number]],Table127163137496173109115[NAT Number],Table127163137496173109115[TT race points])</f>
        <v>#N/A</v>
      </c>
      <c r="AL10" cm="1">
        <f t="array" ref="AL10">_xlfn.LET(_xlpm.r,Table125162187[[#This Row],[CM GS1]:[MF GS]],_xlpm.m,_xlfn.AGGREGATE(15,6,_xlpm.r/(_xlpm.r&lt;&gt;999.99),1),IFERROR(_xlpm.m,999.99))</f>
        <v>999.99</v>
      </c>
      <c r="AM10" cm="1">
        <f t="array" ref="AM10">_xlfn.LET(_xlpm.r,Table125162187[[#This Row],[CM GS1]:[MF GS]],_xlpm.m,_xlfn.AGGREGATE(15,6,_xlpm.r/(_xlpm.r&lt;&gt;999.99),2),IFERROR(_xlpm.m,999.99))</f>
        <v>999.99</v>
      </c>
      <c r="AO10">
        <v>124079</v>
      </c>
      <c r="AP10" t="s">
        <v>789</v>
      </c>
      <c r="AQ10" t="s">
        <v>770</v>
      </c>
      <c r="AR10">
        <f>_xlfn.XLOOKUP(Table126163188[[#This Row],[ACA Number]],Table121158183[ACA Number],Table121158183[Best 1 run SL race])</f>
        <v>611.79999999999995</v>
      </c>
      <c r="AS10">
        <f>_xlfn.XLOOKUP(Table126163188[[#This Row],[ACA Number]],Table123160185[ACA Number],Table123160185[Best 1 Run])</f>
        <v>614.35</v>
      </c>
      <c r="AT10">
        <f>_xlfn.XLOOKUP(Table126163188[[#This Row],[ACA Number]],Table124161186[ACA Number],Table124161186[Best result],)</f>
        <v>621.41999999999996</v>
      </c>
      <c r="AU10">
        <f>_xlfn.XLOOKUP(Table126163188[[#This Row],[ACA Number]],Table124161186[ACA Number],Table124161186[2nd Best Result])</f>
        <v>640.09</v>
      </c>
      <c r="AV10">
        <f>_xlfn.XLOOKUP(Table126163188[[#This Row],[ACA Number]],Table125162187[ACA Number],Table125162187[Best result])</f>
        <v>700.35</v>
      </c>
      <c r="AW10">
        <f>_xlfn.XLOOKUP(Table126163188[[#This Row],[ACA Number]],Table125162187[ACA Number],Table125162187[2nd Best Result])</f>
        <v>780.35</v>
      </c>
      <c r="AX10">
        <f t="shared" si="0"/>
        <v>3968.36</v>
      </c>
      <c r="AY10">
        <f>_xlfn.RANK.EQ(Table126163188[[#This Row],[Total Points]],Table126163188[Total Points],1)</f>
        <v>11</v>
      </c>
    </row>
    <row r="11" spans="1:51" x14ac:dyDescent="0.3">
      <c r="A11">
        <v>109927</v>
      </c>
      <c r="B11" t="s">
        <v>778</v>
      </c>
      <c r="C11" t="s">
        <v>770</v>
      </c>
      <c r="D11" t="e">
        <f>_xlfn.XLOOKUP(Table121158183[[#This Row],[ACA Number]],Table127[NAT Number],Table127[run 1 points])</f>
        <v>#N/A</v>
      </c>
      <c r="E11" t="e">
        <f>_xlfn.XLOOKUP(Table121158183[[#This Row],[ACA Number]],Table127[NAT Number],Table127[run 2 points])</f>
        <v>#N/A</v>
      </c>
      <c r="F11" t="e">
        <f>_xlfn.XLOOKUP(Table121158183[[#This Row],[ACA Number]],Table12716[NAT Number],Table12716[run 1 points])</f>
        <v>#N/A</v>
      </c>
      <c r="G11" t="e">
        <f>_xlfn.XLOOKUP(Table121158183[[#This Row],[ACA Number]],Table12716[NAT Number],Table12716[run 2 points])</f>
        <v>#N/A</v>
      </c>
      <c r="H11" t="e">
        <f>_xlfn.XLOOKUP(Table121158183[[#This Row],[ACA Number]],Table12716313749617385[NAT Number],Table12716313749617385[run 1 points])</f>
        <v>#N/A</v>
      </c>
      <c r="I11" t="e">
        <f>_xlfn.XLOOKUP(Table121158183[[#This Row],[ACA Number]],Table12716313749617385[NAT Number],Table12716313749617385[run 2 points])</f>
        <v>#N/A</v>
      </c>
      <c r="J11" cm="1">
        <f t="array" ref="J11">_xlfn.LET(_xlpm.r,Table121158183[[#This Row],[PM SL1 R1]:[MF SL1 R2]],_xlpm.m,_xlfn.AGGREGATE(15,6,_xlpm.r/(_xlpm.r&lt;&gt;999.99),1),IFERROR(_xlpm.m,999.99))</f>
        <v>999.99</v>
      </c>
      <c r="L11">
        <v>109927</v>
      </c>
      <c r="M11" t="s">
        <v>778</v>
      </c>
      <c r="N11" t="s">
        <v>770</v>
      </c>
      <c r="O11" t="e">
        <f>_xlfn.XLOOKUP(Table123160185[[#This Row],[ACA Number]],Table127163137496173[NAT Number],Table127163137496173[run 1 points])</f>
        <v>#N/A</v>
      </c>
      <c r="P11" t="e">
        <f>_xlfn.XLOOKUP(Table123160185[[#This Row],[ACA Number]],Table127163137496173[NAT Number],Table127163137496173[run 2 points])</f>
        <v>#N/A</v>
      </c>
      <c r="Q11" t="e">
        <f>_xlfn.XLOOKUP(Table123160185[[#This Row],[ACA Number]],Table127163137496173109[NAT Number],Table127163137496173109[run 1 points])</f>
        <v>#N/A</v>
      </c>
      <c r="R11" t="e">
        <f>_xlfn.XLOOKUP(Table123160185[[#This Row],[ACA Number]],Table127163137496173109[NAT Number],Table127163137496173109[run 2 points])</f>
        <v>#N/A</v>
      </c>
      <c r="S11" t="e">
        <f>_xlfn.XLOOKUP(Table123160185[[#This Row],[ACA Number]],Table127163137496173109115[NAT Number],Table127163137496173109115[run 1 points])</f>
        <v>#N/A</v>
      </c>
      <c r="T11" t="e">
        <f>_xlfn.XLOOKUP(Table123160185[[#This Row],[ACA Number]],Table127163137496173109115[NAT Number],Table127163137496173109115[run 2 points])</f>
        <v>#N/A</v>
      </c>
      <c r="U11" cm="1">
        <f t="array" ref="U11">_xlfn.LET(_xlpm.r,Table123160185[[#This Row],[CM GS1 R1]:[MF GS R2]],_xlpm.m,_xlfn.AGGREGATE(15,6,_xlpm.r/(_xlpm.r&lt;&gt;999.99),1),IFERROR(_xlpm.m,999.99))</f>
        <v>999.99</v>
      </c>
      <c r="W11">
        <v>109927</v>
      </c>
      <c r="X11" t="s">
        <v>778</v>
      </c>
      <c r="Y11" t="s">
        <v>770</v>
      </c>
      <c r="Z11" t="e">
        <f>_xlfn.XLOOKUP(Table124161186[[#This Row],[ACA Number]],Table127[NAT Number],Table127[TT race points])</f>
        <v>#N/A</v>
      </c>
      <c r="AA11" t="e">
        <f>_xlfn.XLOOKUP(Table124161186[[#This Row],[ACA Number]],Table12716[NAT Number],Table12716[TT race points])</f>
        <v>#N/A</v>
      </c>
      <c r="AB11" t="e">
        <f>_xlfn.XLOOKUP(Table124161186[[#This Row],[ACA Number]],Table12716313749617385[NAT Number],Table12716313749617385[TT race points])</f>
        <v>#N/A</v>
      </c>
      <c r="AC11" cm="1">
        <f t="array" ref="AC11">_xlfn.LET(_xlpm.r,Table124161186[[#This Row],[PM SL1]:[MF SL]],_xlpm.m,_xlfn.AGGREGATE(15,6,_xlpm.r/(_xlpm.r&lt;&gt;999.99),1),IFERROR(_xlpm.m,999.99))</f>
        <v>999.99</v>
      </c>
      <c r="AD11" cm="1">
        <f t="array" ref="AD11">_xlfn.LET(_xlpm.r,Table124161186[[#This Row],[PM SL1]:[MF SL]],_xlpm.m,_xlfn.AGGREGATE(15,6,_xlpm.r/(_xlpm.r&lt;&gt;999.99),2),IFERROR(_xlpm.m,999.99))</f>
        <v>999.99</v>
      </c>
      <c r="AF11">
        <v>109927</v>
      </c>
      <c r="AG11" t="s">
        <v>778</v>
      </c>
      <c r="AH11" t="s">
        <v>770</v>
      </c>
      <c r="AI11" t="e">
        <f>_xlfn.XLOOKUP(Table125162187[[#This Row],[ACA Number]],Table127163137496173[NAT Number],Table127163137496173[TT race points])</f>
        <v>#N/A</v>
      </c>
      <c r="AJ11" t="e">
        <f>_xlfn.XLOOKUP(Table125162187[[#This Row],[ACA Number]],Table127163137496173109[NAT Number],Table127163137496173109[TT race points])</f>
        <v>#N/A</v>
      </c>
      <c r="AK11" t="e">
        <f>_xlfn.XLOOKUP(Table125162187[[#This Row],[ACA Number]],Table127163137496173109115[NAT Number],Table127163137496173109115[TT race points])</f>
        <v>#N/A</v>
      </c>
      <c r="AL11" cm="1">
        <f t="array" ref="AL11">_xlfn.LET(_xlpm.r,Table125162187[[#This Row],[CM GS1]:[MF GS]],_xlpm.m,_xlfn.AGGREGATE(15,6,_xlpm.r/(_xlpm.r&lt;&gt;999.99),1),IFERROR(_xlpm.m,999.99))</f>
        <v>999.99</v>
      </c>
      <c r="AM11" cm="1">
        <f t="array" ref="AM11">_xlfn.LET(_xlpm.r,Table125162187[[#This Row],[CM GS1]:[MF GS]],_xlpm.m,_xlfn.AGGREGATE(15,6,_xlpm.r/(_xlpm.r&lt;&gt;999.99),2),IFERROR(_xlpm.m,999.99))</f>
        <v>999.99</v>
      </c>
      <c r="AO11">
        <v>124075</v>
      </c>
      <c r="AP11" t="s">
        <v>786</v>
      </c>
      <c r="AQ11" t="s">
        <v>770</v>
      </c>
      <c r="AR11">
        <f>_xlfn.XLOOKUP(Table126163188[[#This Row],[ACA Number]],Table121158183[ACA Number],Table121158183[Best 1 run SL race])</f>
        <v>389.09</v>
      </c>
      <c r="AS11">
        <f>_xlfn.XLOOKUP(Table126163188[[#This Row],[ACA Number]],Table123160185[ACA Number],Table123160185[Best 1 Run])</f>
        <v>371.03</v>
      </c>
      <c r="AT11">
        <f>_xlfn.XLOOKUP(Table126163188[[#This Row],[ACA Number]],Table124161186[ACA Number],Table124161186[Best result],)</f>
        <v>407.16</v>
      </c>
      <c r="AU11">
        <f>_xlfn.XLOOKUP(Table126163188[[#This Row],[ACA Number]],Table124161186[ACA Number],Table124161186[2nd Best Result])</f>
        <v>635.66999999999996</v>
      </c>
      <c r="AV11">
        <f>_xlfn.XLOOKUP(Table126163188[[#This Row],[ACA Number]],Table125162187[ACA Number],Table125162187[Best result])</f>
        <v>599.44000000000005</v>
      </c>
      <c r="AW11">
        <f>_xlfn.XLOOKUP(Table126163188[[#This Row],[ACA Number]],Table125162187[ACA Number],Table125162187[2nd Best Result])</f>
        <v>999.99</v>
      </c>
      <c r="AX11">
        <f t="shared" si="0"/>
        <v>3402.38</v>
      </c>
      <c r="AY11">
        <f>_xlfn.RANK.EQ(Table126163188[[#This Row],[Total Points]],Table126163188[Total Points],1)</f>
        <v>10</v>
      </c>
    </row>
    <row r="12" spans="1:51" x14ac:dyDescent="0.3">
      <c r="A12">
        <v>109933</v>
      </c>
      <c r="B12" t="s">
        <v>779</v>
      </c>
      <c r="C12" t="s">
        <v>770</v>
      </c>
      <c r="D12">
        <f>_xlfn.XLOOKUP(Table121158183[[#This Row],[ACA Number]],Table127[NAT Number],Table127[run 1 points])</f>
        <v>754.47</v>
      </c>
      <c r="E12">
        <f>_xlfn.XLOOKUP(Table121158183[[#This Row],[ACA Number]],Table127[NAT Number],Table127[run 2 points])</f>
        <v>794.76</v>
      </c>
      <c r="F12">
        <f>_xlfn.XLOOKUP(Table121158183[[#This Row],[ACA Number]],Table12716[NAT Number],Table12716[run 1 points])</f>
        <v>781.24</v>
      </c>
      <c r="G12">
        <f>_xlfn.XLOOKUP(Table121158183[[#This Row],[ACA Number]],Table12716[NAT Number],Table12716[run 2 points])</f>
        <v>730.8</v>
      </c>
      <c r="H12" t="e">
        <f>_xlfn.XLOOKUP(Table121158183[[#This Row],[ACA Number]],Table12716313749617385[NAT Number],Table12716313749617385[run 1 points])</f>
        <v>#N/A</v>
      </c>
      <c r="I12" t="e">
        <f>_xlfn.XLOOKUP(Table121158183[[#This Row],[ACA Number]],Table12716313749617385[NAT Number],Table12716313749617385[run 2 points])</f>
        <v>#N/A</v>
      </c>
      <c r="J12" cm="1">
        <f t="array" ref="J12">_xlfn.LET(_xlpm.r,Table121158183[[#This Row],[PM SL1 R1]:[MF SL1 R2]],_xlpm.m,_xlfn.AGGREGATE(15,6,_xlpm.r/(_xlpm.r&lt;&gt;999.99),1),IFERROR(_xlpm.m,999.99))</f>
        <v>730.8</v>
      </c>
      <c r="L12">
        <v>109933</v>
      </c>
      <c r="M12" t="s">
        <v>779</v>
      </c>
      <c r="N12" t="s">
        <v>770</v>
      </c>
      <c r="O12" t="e">
        <f>_xlfn.XLOOKUP(Table123160185[[#This Row],[ACA Number]],Table127163137496173[NAT Number],Table127163137496173[run 1 points])</f>
        <v>#N/A</v>
      </c>
      <c r="P12" t="e">
        <f>_xlfn.XLOOKUP(Table123160185[[#This Row],[ACA Number]],Table127163137496173[NAT Number],Table127163137496173[run 2 points])</f>
        <v>#N/A</v>
      </c>
      <c r="Q12" t="e">
        <f>_xlfn.XLOOKUP(Table123160185[[#This Row],[ACA Number]],Table127163137496173109[NAT Number],Table127163137496173109[run 1 points])</f>
        <v>#N/A</v>
      </c>
      <c r="R12" t="e">
        <f>_xlfn.XLOOKUP(Table123160185[[#This Row],[ACA Number]],Table127163137496173109[NAT Number],Table127163137496173109[run 2 points])</f>
        <v>#N/A</v>
      </c>
      <c r="S12" t="e">
        <f>_xlfn.XLOOKUP(Table123160185[[#This Row],[ACA Number]],Table127163137496173109115[NAT Number],Table127163137496173109115[run 1 points])</f>
        <v>#N/A</v>
      </c>
      <c r="T12" t="e">
        <f>_xlfn.XLOOKUP(Table123160185[[#This Row],[ACA Number]],Table127163137496173109115[NAT Number],Table127163137496173109115[run 2 points])</f>
        <v>#N/A</v>
      </c>
      <c r="U12" cm="1">
        <f t="array" ref="U12">_xlfn.LET(_xlpm.r,Table123160185[[#This Row],[CM GS1 R1]:[MF GS R2]],_xlpm.m,_xlfn.AGGREGATE(15,6,_xlpm.r/(_xlpm.r&lt;&gt;999.99),1),IFERROR(_xlpm.m,999.99))</f>
        <v>999.99</v>
      </c>
      <c r="W12">
        <v>109933</v>
      </c>
      <c r="X12" t="s">
        <v>779</v>
      </c>
      <c r="Y12" t="s">
        <v>770</v>
      </c>
      <c r="Z12">
        <f>_xlfn.XLOOKUP(Table124161186[[#This Row],[ACA Number]],Table127[NAT Number],Table127[TT race points])</f>
        <v>775.92</v>
      </c>
      <c r="AA12">
        <f>_xlfn.XLOOKUP(Table124161186[[#This Row],[ACA Number]],Table12716[NAT Number],Table12716[TT race points])</f>
        <v>743.25</v>
      </c>
      <c r="AB12" t="e">
        <f>_xlfn.XLOOKUP(Table124161186[[#This Row],[ACA Number]],Table12716313749617385[NAT Number],Table12716313749617385[TT race points])</f>
        <v>#N/A</v>
      </c>
      <c r="AC12" cm="1">
        <f t="array" ref="AC12">_xlfn.LET(_xlpm.r,Table124161186[[#This Row],[PM SL1]:[MF SL]],_xlpm.m,_xlfn.AGGREGATE(15,6,_xlpm.r/(_xlpm.r&lt;&gt;999.99),1),IFERROR(_xlpm.m,999.99))</f>
        <v>743.25</v>
      </c>
      <c r="AD12" cm="1">
        <f t="array" ref="AD12">_xlfn.LET(_xlpm.r,Table124161186[[#This Row],[PM SL1]:[MF SL]],_xlpm.m,_xlfn.AGGREGATE(15,6,_xlpm.r/(_xlpm.r&lt;&gt;999.99),2),IFERROR(_xlpm.m,999.99))</f>
        <v>775.92</v>
      </c>
      <c r="AF12">
        <v>109933</v>
      </c>
      <c r="AG12" t="s">
        <v>779</v>
      </c>
      <c r="AH12" t="s">
        <v>770</v>
      </c>
      <c r="AI12" t="e">
        <f>_xlfn.XLOOKUP(Table125162187[[#This Row],[ACA Number]],Table127163137496173[NAT Number],Table127163137496173[TT race points])</f>
        <v>#N/A</v>
      </c>
      <c r="AJ12" t="e">
        <f>_xlfn.XLOOKUP(Table125162187[[#This Row],[ACA Number]],Table127163137496173109[NAT Number],Table127163137496173109[TT race points])</f>
        <v>#N/A</v>
      </c>
      <c r="AK12" t="e">
        <f>_xlfn.XLOOKUP(Table125162187[[#This Row],[ACA Number]],Table127163137496173109115[NAT Number],Table127163137496173109115[TT race points])</f>
        <v>#N/A</v>
      </c>
      <c r="AL12" cm="1">
        <f t="array" ref="AL12">_xlfn.LET(_xlpm.r,Table125162187[[#This Row],[CM GS1]:[MF GS]],_xlpm.m,_xlfn.AGGREGATE(15,6,_xlpm.r/(_xlpm.r&lt;&gt;999.99),1),IFERROR(_xlpm.m,999.99))</f>
        <v>999.99</v>
      </c>
      <c r="AM12" cm="1">
        <f t="array" ref="AM12">_xlfn.LET(_xlpm.r,Table125162187[[#This Row],[CM GS1]:[MF GS]],_xlpm.m,_xlfn.AGGREGATE(15,6,_xlpm.r/(_xlpm.r&lt;&gt;999.99),2),IFERROR(_xlpm.m,999.99))</f>
        <v>999.99</v>
      </c>
      <c r="AO12">
        <v>124081</v>
      </c>
      <c r="AP12" t="s">
        <v>784</v>
      </c>
      <c r="AQ12" t="s">
        <v>770</v>
      </c>
      <c r="AR12">
        <f>_xlfn.XLOOKUP(Table126163188[[#This Row],[ACA Number]],Table121158183[ACA Number],Table121158183[Best 1 run SL race])</f>
        <v>264.63</v>
      </c>
      <c r="AS12">
        <f>_xlfn.XLOOKUP(Table126163188[[#This Row],[ACA Number]],Table123160185[ACA Number],Table123160185[Best 1 Run])</f>
        <v>196.75</v>
      </c>
      <c r="AT12">
        <f>_xlfn.XLOOKUP(Table126163188[[#This Row],[ACA Number]],Table124161186[ACA Number],Table124161186[Best result],)</f>
        <v>275.10000000000002</v>
      </c>
      <c r="AU12">
        <f>_xlfn.XLOOKUP(Table126163188[[#This Row],[ACA Number]],Table124161186[ACA Number],Table124161186[2nd Best Result])</f>
        <v>999.99</v>
      </c>
      <c r="AV12">
        <f>_xlfn.XLOOKUP(Table126163188[[#This Row],[ACA Number]],Table125162187[ACA Number],Table125162187[Best result])</f>
        <v>243.23</v>
      </c>
      <c r="AW12">
        <f>_xlfn.XLOOKUP(Table126163188[[#This Row],[ACA Number]],Table125162187[ACA Number],Table125162187[2nd Best Result])</f>
        <v>999.99</v>
      </c>
      <c r="AX12">
        <f t="shared" si="0"/>
        <v>2979.69</v>
      </c>
      <c r="AY12">
        <f>_xlfn.RANK.EQ(Table126163188[[#This Row],[Total Points]],Table126163188[Total Points],1)</f>
        <v>9</v>
      </c>
    </row>
    <row r="13" spans="1:51" x14ac:dyDescent="0.3">
      <c r="A13">
        <v>110625</v>
      </c>
      <c r="B13" t="s">
        <v>780</v>
      </c>
      <c r="C13" t="s">
        <v>770</v>
      </c>
      <c r="D13" t="e">
        <f>_xlfn.XLOOKUP(Table121158183[[#This Row],[ACA Number]],Table127[NAT Number],Table127[run 1 points])</f>
        <v>#N/A</v>
      </c>
      <c r="E13" t="e">
        <f>_xlfn.XLOOKUP(Table121158183[[#This Row],[ACA Number]],Table127[NAT Number],Table127[run 2 points])</f>
        <v>#N/A</v>
      </c>
      <c r="F13" t="e">
        <f>_xlfn.XLOOKUP(Table121158183[[#This Row],[ACA Number]],Table12716[NAT Number],Table12716[run 1 points])</f>
        <v>#N/A</v>
      </c>
      <c r="G13" t="e">
        <f>_xlfn.XLOOKUP(Table121158183[[#This Row],[ACA Number]],Table12716[NAT Number],Table12716[run 2 points])</f>
        <v>#N/A</v>
      </c>
      <c r="H13" t="e">
        <f>_xlfn.XLOOKUP(Table121158183[[#This Row],[ACA Number]],Table12716313749617385[NAT Number],Table12716313749617385[run 1 points])</f>
        <v>#N/A</v>
      </c>
      <c r="I13" t="e">
        <f>_xlfn.XLOOKUP(Table121158183[[#This Row],[ACA Number]],Table12716313749617385[NAT Number],Table12716313749617385[run 2 points])</f>
        <v>#N/A</v>
      </c>
      <c r="J13" cm="1">
        <f t="array" ref="J13">_xlfn.LET(_xlpm.r,Table121158183[[#This Row],[PM SL1 R1]:[MF SL1 R2]],_xlpm.m,_xlfn.AGGREGATE(15,6,_xlpm.r/(_xlpm.r&lt;&gt;999.99),1),IFERROR(_xlpm.m,999.99))</f>
        <v>999.99</v>
      </c>
      <c r="L13">
        <v>110625</v>
      </c>
      <c r="M13" t="s">
        <v>780</v>
      </c>
      <c r="N13" t="s">
        <v>770</v>
      </c>
      <c r="O13" t="e">
        <f>_xlfn.XLOOKUP(Table123160185[[#This Row],[ACA Number]],Table127163137496173[NAT Number],Table127163137496173[run 1 points])</f>
        <v>#N/A</v>
      </c>
      <c r="P13" t="e">
        <f>_xlfn.XLOOKUP(Table123160185[[#This Row],[ACA Number]],Table127163137496173[NAT Number],Table127163137496173[run 2 points])</f>
        <v>#N/A</v>
      </c>
      <c r="Q13" t="e">
        <f>_xlfn.XLOOKUP(Table123160185[[#This Row],[ACA Number]],Table127163137496173109[NAT Number],Table127163137496173109[run 1 points])</f>
        <v>#N/A</v>
      </c>
      <c r="R13" t="e">
        <f>_xlfn.XLOOKUP(Table123160185[[#This Row],[ACA Number]],Table127163137496173109[NAT Number],Table127163137496173109[run 2 points])</f>
        <v>#N/A</v>
      </c>
      <c r="S13" t="e">
        <f>_xlfn.XLOOKUP(Table123160185[[#This Row],[ACA Number]],Table127163137496173109115[NAT Number],Table127163137496173109115[run 1 points])</f>
        <v>#N/A</v>
      </c>
      <c r="T13" t="e">
        <f>_xlfn.XLOOKUP(Table123160185[[#This Row],[ACA Number]],Table127163137496173109115[NAT Number],Table127163137496173109115[run 2 points])</f>
        <v>#N/A</v>
      </c>
      <c r="U13" cm="1">
        <f t="array" ref="U13">_xlfn.LET(_xlpm.r,Table123160185[[#This Row],[CM GS1 R1]:[MF GS R2]],_xlpm.m,_xlfn.AGGREGATE(15,6,_xlpm.r/(_xlpm.r&lt;&gt;999.99),1),IFERROR(_xlpm.m,999.99))</f>
        <v>999.99</v>
      </c>
      <c r="W13">
        <v>110625</v>
      </c>
      <c r="X13" t="s">
        <v>780</v>
      </c>
      <c r="Y13" t="s">
        <v>770</v>
      </c>
      <c r="Z13" t="e">
        <f>_xlfn.XLOOKUP(Table124161186[[#This Row],[ACA Number]],Table127[NAT Number],Table127[TT race points])</f>
        <v>#N/A</v>
      </c>
      <c r="AA13" t="e">
        <f>_xlfn.XLOOKUP(Table124161186[[#This Row],[ACA Number]],Table12716[NAT Number],Table12716[TT race points])</f>
        <v>#N/A</v>
      </c>
      <c r="AB13" t="e">
        <f>_xlfn.XLOOKUP(Table124161186[[#This Row],[ACA Number]],Table12716313749617385[NAT Number],Table12716313749617385[TT race points])</f>
        <v>#N/A</v>
      </c>
      <c r="AC13" cm="1">
        <f t="array" ref="AC13">_xlfn.LET(_xlpm.r,Table124161186[[#This Row],[PM SL1]:[MF SL]],_xlpm.m,_xlfn.AGGREGATE(15,6,_xlpm.r/(_xlpm.r&lt;&gt;999.99),1),IFERROR(_xlpm.m,999.99))</f>
        <v>999.99</v>
      </c>
      <c r="AD13" cm="1">
        <f t="array" ref="AD13">_xlfn.LET(_xlpm.r,Table124161186[[#This Row],[PM SL1]:[MF SL]],_xlpm.m,_xlfn.AGGREGATE(15,6,_xlpm.r/(_xlpm.r&lt;&gt;999.99),2),IFERROR(_xlpm.m,999.99))</f>
        <v>999.99</v>
      </c>
      <c r="AF13">
        <v>110625</v>
      </c>
      <c r="AG13" t="s">
        <v>780</v>
      </c>
      <c r="AH13" t="s">
        <v>770</v>
      </c>
      <c r="AI13" t="e">
        <f>_xlfn.XLOOKUP(Table125162187[[#This Row],[ACA Number]],Table127163137496173[NAT Number],Table127163137496173[TT race points])</f>
        <v>#N/A</v>
      </c>
      <c r="AJ13" t="e">
        <f>_xlfn.XLOOKUP(Table125162187[[#This Row],[ACA Number]],Table127163137496173109[NAT Number],Table127163137496173109[TT race points])</f>
        <v>#N/A</v>
      </c>
      <c r="AK13" t="e">
        <f>_xlfn.XLOOKUP(Table125162187[[#This Row],[ACA Number]],Table127163137496173109115[NAT Number],Table127163137496173109115[TT race points])</f>
        <v>#N/A</v>
      </c>
      <c r="AL13" cm="1">
        <f t="array" ref="AL13">_xlfn.LET(_xlpm.r,Table125162187[[#This Row],[CM GS1]:[MF GS]],_xlpm.m,_xlfn.AGGREGATE(15,6,_xlpm.r/(_xlpm.r&lt;&gt;999.99),1),IFERROR(_xlpm.m,999.99))</f>
        <v>999.99</v>
      </c>
      <c r="AM13" cm="1">
        <f t="array" ref="AM13">_xlfn.LET(_xlpm.r,Table125162187[[#This Row],[CM GS1]:[MF GS]],_xlpm.m,_xlfn.AGGREGATE(15,6,_xlpm.r/(_xlpm.r&lt;&gt;999.99),2),IFERROR(_xlpm.m,999.99))</f>
        <v>999.99</v>
      </c>
      <c r="AO13">
        <v>121964</v>
      </c>
      <c r="AP13" t="s">
        <v>773</v>
      </c>
      <c r="AQ13" t="s">
        <v>770</v>
      </c>
      <c r="AR13">
        <f>_xlfn.XLOOKUP(Table126163188[[#This Row],[ACA Number]],Table121158183[ACA Number],Table121158183[Best 1 run SL race])</f>
        <v>235.84</v>
      </c>
      <c r="AS13">
        <f>_xlfn.XLOOKUP(Table126163188[[#This Row],[ACA Number]],Table123160185[ACA Number],Table123160185[Best 1 Run])</f>
        <v>205.68</v>
      </c>
      <c r="AT13">
        <f>_xlfn.XLOOKUP(Table126163188[[#This Row],[ACA Number]],Table124161186[ACA Number],Table124161186[Best result],)</f>
        <v>235.98</v>
      </c>
      <c r="AU13">
        <f>_xlfn.XLOOKUP(Table126163188[[#This Row],[ACA Number]],Table124161186[ACA Number],Table124161186[2nd Best Result])</f>
        <v>999.99</v>
      </c>
      <c r="AV13">
        <f>_xlfn.XLOOKUP(Table126163188[[#This Row],[ACA Number]],Table125162187[ACA Number],Table125162187[Best result])</f>
        <v>203.33</v>
      </c>
      <c r="AW13">
        <f>_xlfn.XLOOKUP(Table126163188[[#This Row],[ACA Number]],Table125162187[ACA Number],Table125162187[2nd Best Result])</f>
        <v>464.55</v>
      </c>
      <c r="AX13">
        <f t="shared" si="0"/>
        <v>2345.37</v>
      </c>
      <c r="AY13">
        <f>_xlfn.RANK.EQ(Table126163188[[#This Row],[Total Points]],Table126163188[Total Points],1)</f>
        <v>8</v>
      </c>
    </row>
    <row r="14" spans="1:51" x14ac:dyDescent="0.3">
      <c r="A14">
        <v>123263</v>
      </c>
      <c r="B14" t="s">
        <v>781</v>
      </c>
      <c r="C14" t="s">
        <v>770</v>
      </c>
      <c r="D14" t="e">
        <f>_xlfn.XLOOKUP(Table121158183[[#This Row],[ACA Number]],Table127[NAT Number],Table127[run 1 points])</f>
        <v>#N/A</v>
      </c>
      <c r="E14" t="e">
        <f>_xlfn.XLOOKUP(Table121158183[[#This Row],[ACA Number]],Table127[NAT Number],Table127[run 2 points])</f>
        <v>#N/A</v>
      </c>
      <c r="F14" t="e">
        <f>_xlfn.XLOOKUP(Table121158183[[#This Row],[ACA Number]],Table12716[NAT Number],Table12716[run 1 points])</f>
        <v>#N/A</v>
      </c>
      <c r="G14" t="e">
        <f>_xlfn.XLOOKUP(Table121158183[[#This Row],[ACA Number]],Table12716[NAT Number],Table12716[run 2 points])</f>
        <v>#N/A</v>
      </c>
      <c r="H14" t="e">
        <f>_xlfn.XLOOKUP(Table121158183[[#This Row],[ACA Number]],Table12716313749617385[NAT Number],Table12716313749617385[run 1 points])</f>
        <v>#N/A</v>
      </c>
      <c r="I14" t="e">
        <f>_xlfn.XLOOKUP(Table121158183[[#This Row],[ACA Number]],Table12716313749617385[NAT Number],Table12716313749617385[run 2 points])</f>
        <v>#N/A</v>
      </c>
      <c r="J14" cm="1">
        <f t="array" ref="J14">_xlfn.LET(_xlpm.r,Table121158183[[#This Row],[PM SL1 R1]:[MF SL1 R2]],_xlpm.m,_xlfn.AGGREGATE(15,6,_xlpm.r/(_xlpm.r&lt;&gt;999.99),1),IFERROR(_xlpm.m,999.99))</f>
        <v>999.99</v>
      </c>
      <c r="L14">
        <v>123263</v>
      </c>
      <c r="M14" t="s">
        <v>781</v>
      </c>
      <c r="N14" t="s">
        <v>770</v>
      </c>
      <c r="O14" t="e">
        <f>_xlfn.XLOOKUP(Table123160185[[#This Row],[ACA Number]],Table127163137496173[NAT Number],Table127163137496173[run 1 points])</f>
        <v>#N/A</v>
      </c>
      <c r="P14" t="e">
        <f>_xlfn.XLOOKUP(Table123160185[[#This Row],[ACA Number]],Table127163137496173[NAT Number],Table127163137496173[run 2 points])</f>
        <v>#N/A</v>
      </c>
      <c r="Q14" t="e">
        <f>_xlfn.XLOOKUP(Table123160185[[#This Row],[ACA Number]],Table127163137496173109[NAT Number],Table127163137496173109[run 1 points])</f>
        <v>#N/A</v>
      </c>
      <c r="R14" t="e">
        <f>_xlfn.XLOOKUP(Table123160185[[#This Row],[ACA Number]],Table127163137496173109[NAT Number],Table127163137496173109[run 2 points])</f>
        <v>#N/A</v>
      </c>
      <c r="S14" t="e">
        <f>_xlfn.XLOOKUP(Table123160185[[#This Row],[ACA Number]],Table127163137496173109115[NAT Number],Table127163137496173109115[run 1 points])</f>
        <v>#N/A</v>
      </c>
      <c r="T14" t="e">
        <f>_xlfn.XLOOKUP(Table123160185[[#This Row],[ACA Number]],Table127163137496173109115[NAT Number],Table127163137496173109115[run 2 points])</f>
        <v>#N/A</v>
      </c>
      <c r="U14" cm="1">
        <f t="array" ref="U14">_xlfn.LET(_xlpm.r,Table123160185[[#This Row],[CM GS1 R1]:[MF GS R2]],_xlpm.m,_xlfn.AGGREGATE(15,6,_xlpm.r/(_xlpm.r&lt;&gt;999.99),1),IFERROR(_xlpm.m,999.99))</f>
        <v>999.99</v>
      </c>
      <c r="W14">
        <v>123263</v>
      </c>
      <c r="X14" t="s">
        <v>781</v>
      </c>
      <c r="Y14" t="s">
        <v>770</v>
      </c>
      <c r="Z14" t="e">
        <f>_xlfn.XLOOKUP(Table124161186[[#This Row],[ACA Number]],Table127[NAT Number],Table127[TT race points])</f>
        <v>#N/A</v>
      </c>
      <c r="AA14" t="e">
        <f>_xlfn.XLOOKUP(Table124161186[[#This Row],[ACA Number]],Table12716[NAT Number],Table12716[TT race points])</f>
        <v>#N/A</v>
      </c>
      <c r="AB14" t="e">
        <f>_xlfn.XLOOKUP(Table124161186[[#This Row],[ACA Number]],Table12716313749617385[NAT Number],Table12716313749617385[TT race points])</f>
        <v>#N/A</v>
      </c>
      <c r="AC14" cm="1">
        <f t="array" ref="AC14">_xlfn.LET(_xlpm.r,Table124161186[[#This Row],[PM SL1]:[MF SL]],_xlpm.m,_xlfn.AGGREGATE(15,6,_xlpm.r/(_xlpm.r&lt;&gt;999.99),1),IFERROR(_xlpm.m,999.99))</f>
        <v>999.99</v>
      </c>
      <c r="AD14" cm="1">
        <f t="array" ref="AD14">_xlfn.LET(_xlpm.r,Table124161186[[#This Row],[PM SL1]:[MF SL]],_xlpm.m,_xlfn.AGGREGATE(15,6,_xlpm.r/(_xlpm.r&lt;&gt;999.99),2),IFERROR(_xlpm.m,999.99))</f>
        <v>999.99</v>
      </c>
      <c r="AF14">
        <v>123263</v>
      </c>
      <c r="AG14" t="s">
        <v>781</v>
      </c>
      <c r="AH14" t="s">
        <v>770</v>
      </c>
      <c r="AI14" t="e">
        <f>_xlfn.XLOOKUP(Table125162187[[#This Row],[ACA Number]],Table127163137496173[NAT Number],Table127163137496173[TT race points])</f>
        <v>#N/A</v>
      </c>
      <c r="AJ14" t="e">
        <f>_xlfn.XLOOKUP(Table125162187[[#This Row],[ACA Number]],Table127163137496173109[NAT Number],Table127163137496173109[TT race points])</f>
        <v>#N/A</v>
      </c>
      <c r="AK14" t="e">
        <f>_xlfn.XLOOKUP(Table125162187[[#This Row],[ACA Number]],Table127163137496173109115[NAT Number],Table127163137496173109115[TT race points])</f>
        <v>#N/A</v>
      </c>
      <c r="AL14" cm="1">
        <f t="array" ref="AL14">_xlfn.LET(_xlpm.r,Table125162187[[#This Row],[CM GS1]:[MF GS]],_xlpm.m,_xlfn.AGGREGATE(15,6,_xlpm.r/(_xlpm.r&lt;&gt;999.99),1),IFERROR(_xlpm.m,999.99))</f>
        <v>999.99</v>
      </c>
      <c r="AM14" cm="1">
        <f t="array" ref="AM14">_xlfn.LET(_xlpm.r,Table125162187[[#This Row],[CM GS1]:[MF GS]],_xlpm.m,_xlfn.AGGREGATE(15,6,_xlpm.r/(_xlpm.r&lt;&gt;999.99),2),IFERROR(_xlpm.m,999.99))</f>
        <v>999.99</v>
      </c>
      <c r="AO14">
        <v>109933</v>
      </c>
      <c r="AP14" t="s">
        <v>779</v>
      </c>
      <c r="AQ14" t="s">
        <v>770</v>
      </c>
      <c r="AR14">
        <f>_xlfn.XLOOKUP(Table126163188[[#This Row],[ACA Number]],Table121158183[ACA Number],Table121158183[Best 1 run SL race])</f>
        <v>730.8</v>
      </c>
      <c r="AS14">
        <f>_xlfn.XLOOKUP(Table126163188[[#This Row],[ACA Number]],Table123160185[ACA Number],Table123160185[Best 1 Run])</f>
        <v>999.99</v>
      </c>
      <c r="AT14">
        <f>_xlfn.XLOOKUP(Table126163188[[#This Row],[ACA Number]],Table124161186[ACA Number],Table124161186[Best result],)</f>
        <v>743.25</v>
      </c>
      <c r="AU14">
        <f>_xlfn.XLOOKUP(Table126163188[[#This Row],[ACA Number]],Table124161186[ACA Number],Table124161186[2nd Best Result])</f>
        <v>775.92</v>
      </c>
      <c r="AV14">
        <f>_xlfn.XLOOKUP(Table126163188[[#This Row],[ACA Number]],Table125162187[ACA Number],Table125162187[Best result])</f>
        <v>999.99</v>
      </c>
      <c r="AW14">
        <f>_xlfn.XLOOKUP(Table126163188[[#This Row],[ACA Number]],Table125162187[ACA Number],Table125162187[2nd Best Result])</f>
        <v>999.99</v>
      </c>
      <c r="AX14">
        <f t="shared" si="0"/>
        <v>5249.94</v>
      </c>
      <c r="AY14">
        <f>_xlfn.RANK.EQ(Table126163188[[#This Row],[Total Points]],Table126163188[Total Points],1)</f>
        <v>12</v>
      </c>
    </row>
    <row r="15" spans="1:51" x14ac:dyDescent="0.3">
      <c r="A15">
        <v>126989</v>
      </c>
      <c r="B15" t="s">
        <v>782</v>
      </c>
      <c r="C15" t="s">
        <v>770</v>
      </c>
      <c r="D15" t="e">
        <f>_xlfn.XLOOKUP(Table121158183[[#This Row],[ACA Number]],Table127[NAT Number],Table127[run 1 points])</f>
        <v>#N/A</v>
      </c>
      <c r="E15" t="e">
        <f>_xlfn.XLOOKUP(Table121158183[[#This Row],[ACA Number]],Table127[NAT Number],Table127[run 2 points])</f>
        <v>#N/A</v>
      </c>
      <c r="F15" t="e">
        <f>_xlfn.XLOOKUP(Table121158183[[#This Row],[ACA Number]],Table12716[NAT Number],Table12716[run 1 points])</f>
        <v>#N/A</v>
      </c>
      <c r="G15" t="e">
        <f>_xlfn.XLOOKUP(Table121158183[[#This Row],[ACA Number]],Table12716[NAT Number],Table12716[run 2 points])</f>
        <v>#N/A</v>
      </c>
      <c r="H15" t="e">
        <f>_xlfn.XLOOKUP(Table121158183[[#This Row],[ACA Number]],Table12716313749617385[NAT Number],Table12716313749617385[run 1 points])</f>
        <v>#N/A</v>
      </c>
      <c r="I15" t="e">
        <f>_xlfn.XLOOKUP(Table121158183[[#This Row],[ACA Number]],Table12716313749617385[NAT Number],Table12716313749617385[run 2 points])</f>
        <v>#N/A</v>
      </c>
      <c r="J15" cm="1">
        <f t="array" ref="J15">_xlfn.LET(_xlpm.r,Table121158183[[#This Row],[PM SL1 R1]:[MF SL1 R2]],_xlpm.m,_xlfn.AGGREGATE(15,6,_xlpm.r/(_xlpm.r&lt;&gt;999.99),1),IFERROR(_xlpm.m,999.99))</f>
        <v>999.99</v>
      </c>
      <c r="L15">
        <v>126989</v>
      </c>
      <c r="M15" t="s">
        <v>782</v>
      </c>
      <c r="N15" t="s">
        <v>770</v>
      </c>
      <c r="O15" t="e">
        <f>_xlfn.XLOOKUP(Table123160185[[#This Row],[ACA Number]],Table127163137496173[NAT Number],Table127163137496173[run 1 points])</f>
        <v>#N/A</v>
      </c>
      <c r="P15" t="e">
        <f>_xlfn.XLOOKUP(Table123160185[[#This Row],[ACA Number]],Table127163137496173[NAT Number],Table127163137496173[run 2 points])</f>
        <v>#N/A</v>
      </c>
      <c r="Q15" t="e">
        <f>_xlfn.XLOOKUP(Table123160185[[#This Row],[ACA Number]],Table127163137496173109[NAT Number],Table127163137496173109[run 1 points])</f>
        <v>#N/A</v>
      </c>
      <c r="R15" t="e">
        <f>_xlfn.XLOOKUP(Table123160185[[#This Row],[ACA Number]],Table127163137496173109[NAT Number],Table127163137496173109[run 2 points])</f>
        <v>#N/A</v>
      </c>
      <c r="S15" t="e">
        <f>_xlfn.XLOOKUP(Table123160185[[#This Row],[ACA Number]],Table127163137496173109115[NAT Number],Table127163137496173109115[run 1 points])</f>
        <v>#N/A</v>
      </c>
      <c r="T15" t="e">
        <f>_xlfn.XLOOKUP(Table123160185[[#This Row],[ACA Number]],Table127163137496173109115[NAT Number],Table127163137496173109115[run 2 points])</f>
        <v>#N/A</v>
      </c>
      <c r="U15" cm="1">
        <f t="array" ref="U15">_xlfn.LET(_xlpm.r,Table123160185[[#This Row],[CM GS1 R1]:[MF GS R2]],_xlpm.m,_xlfn.AGGREGATE(15,6,_xlpm.r/(_xlpm.r&lt;&gt;999.99),1),IFERROR(_xlpm.m,999.99))</f>
        <v>999.99</v>
      </c>
      <c r="W15">
        <v>126989</v>
      </c>
      <c r="X15" t="s">
        <v>782</v>
      </c>
      <c r="Y15" t="s">
        <v>770</v>
      </c>
      <c r="Z15" t="e">
        <f>_xlfn.XLOOKUP(Table124161186[[#This Row],[ACA Number]],Table127[NAT Number],Table127[TT race points])</f>
        <v>#N/A</v>
      </c>
      <c r="AA15" t="e">
        <f>_xlfn.XLOOKUP(Table124161186[[#This Row],[ACA Number]],Table12716[NAT Number],Table12716[TT race points])</f>
        <v>#N/A</v>
      </c>
      <c r="AB15" t="e">
        <f>_xlfn.XLOOKUP(Table124161186[[#This Row],[ACA Number]],Table12716313749617385[NAT Number],Table12716313749617385[TT race points])</f>
        <v>#N/A</v>
      </c>
      <c r="AC15" cm="1">
        <f t="array" ref="AC15">_xlfn.LET(_xlpm.r,Table124161186[[#This Row],[PM SL1]:[MF SL]],_xlpm.m,_xlfn.AGGREGATE(15,6,_xlpm.r/(_xlpm.r&lt;&gt;999.99),1),IFERROR(_xlpm.m,999.99))</f>
        <v>999.99</v>
      </c>
      <c r="AD15" cm="1">
        <f t="array" ref="AD15">_xlfn.LET(_xlpm.r,Table124161186[[#This Row],[PM SL1]:[MF SL]],_xlpm.m,_xlfn.AGGREGATE(15,6,_xlpm.r/(_xlpm.r&lt;&gt;999.99),2),IFERROR(_xlpm.m,999.99))</f>
        <v>999.99</v>
      </c>
      <c r="AF15">
        <v>126989</v>
      </c>
      <c r="AG15" t="s">
        <v>782</v>
      </c>
      <c r="AH15" t="s">
        <v>770</v>
      </c>
      <c r="AI15" t="e">
        <f>_xlfn.XLOOKUP(Table125162187[[#This Row],[ACA Number]],Table127163137496173[NAT Number],Table127163137496173[TT race points])</f>
        <v>#N/A</v>
      </c>
      <c r="AJ15" t="e">
        <f>_xlfn.XLOOKUP(Table125162187[[#This Row],[ACA Number]],Table127163137496173109[NAT Number],Table127163137496173109[TT race points])</f>
        <v>#N/A</v>
      </c>
      <c r="AK15" t="e">
        <f>_xlfn.XLOOKUP(Table125162187[[#This Row],[ACA Number]],Table127163137496173109115[NAT Number],Table127163137496173109115[TT race points])</f>
        <v>#N/A</v>
      </c>
      <c r="AL15" cm="1">
        <f t="array" ref="AL15">_xlfn.LET(_xlpm.r,Table125162187[[#This Row],[CM GS1]:[MF GS]],_xlpm.m,_xlfn.AGGREGATE(15,6,_xlpm.r/(_xlpm.r&lt;&gt;999.99),1),IFERROR(_xlpm.m,999.99))</f>
        <v>999.99</v>
      </c>
      <c r="AM15" cm="1">
        <f t="array" ref="AM15">_xlfn.LET(_xlpm.r,Table125162187[[#This Row],[CM GS1]:[MF GS]],_xlpm.m,_xlfn.AGGREGATE(15,6,_xlpm.r/(_xlpm.r&lt;&gt;999.99),2),IFERROR(_xlpm.m,999.99))</f>
        <v>999.99</v>
      </c>
      <c r="AO15">
        <v>109922</v>
      </c>
      <c r="AP15" t="s">
        <v>777</v>
      </c>
      <c r="AQ15" t="s">
        <v>770</v>
      </c>
      <c r="AR15">
        <f>_xlfn.XLOOKUP(Table126163188[[#This Row],[ACA Number]],Table121158183[ACA Number],Table121158183[Best 1 run SL race])</f>
        <v>655.25</v>
      </c>
      <c r="AS15">
        <f>_xlfn.XLOOKUP(Table126163188[[#This Row],[ACA Number]],Table123160185[ACA Number],Table123160185[Best 1 Run])</f>
        <v>999.99</v>
      </c>
      <c r="AT15">
        <f>_xlfn.XLOOKUP(Table126163188[[#This Row],[ACA Number]],Table124161186[ACA Number],Table124161186[Best result],)</f>
        <v>708.71</v>
      </c>
      <c r="AU15">
        <f>_xlfn.XLOOKUP(Table126163188[[#This Row],[ACA Number]],Table124161186[ACA Number],Table124161186[2nd Best Result])</f>
        <v>999.99</v>
      </c>
      <c r="AV15">
        <f>_xlfn.XLOOKUP(Table126163188[[#This Row],[ACA Number]],Table125162187[ACA Number],Table125162187[Best result])</f>
        <v>999.99</v>
      </c>
      <c r="AW15">
        <f>_xlfn.XLOOKUP(Table126163188[[#This Row],[ACA Number]],Table125162187[ACA Number],Table125162187[2nd Best Result])</f>
        <v>999.99</v>
      </c>
      <c r="AX15">
        <f t="shared" si="0"/>
        <v>5363.9199999999992</v>
      </c>
      <c r="AY15">
        <f>_xlfn.RANK.EQ(Table126163188[[#This Row],[Total Points]],Table126163188[Total Points],1)</f>
        <v>13</v>
      </c>
    </row>
    <row r="16" spans="1:51" x14ac:dyDescent="0.3">
      <c r="A16">
        <v>123269</v>
      </c>
      <c r="B16" t="s">
        <v>783</v>
      </c>
      <c r="C16" t="s">
        <v>770</v>
      </c>
      <c r="D16" t="e">
        <f>_xlfn.XLOOKUP(Table121158183[[#This Row],[ACA Number]],Table127[NAT Number],Table127[run 1 points])</f>
        <v>#N/A</v>
      </c>
      <c r="E16" t="e">
        <f>_xlfn.XLOOKUP(Table121158183[[#This Row],[ACA Number]],Table127[NAT Number],Table127[run 2 points])</f>
        <v>#N/A</v>
      </c>
      <c r="F16" t="e">
        <f>_xlfn.XLOOKUP(Table121158183[[#This Row],[ACA Number]],Table12716[NAT Number],Table12716[run 1 points])</f>
        <v>#N/A</v>
      </c>
      <c r="G16" t="e">
        <f>_xlfn.XLOOKUP(Table121158183[[#This Row],[ACA Number]],Table12716[NAT Number],Table12716[run 2 points])</f>
        <v>#N/A</v>
      </c>
      <c r="H16" t="e">
        <f>_xlfn.XLOOKUP(Table121158183[[#This Row],[ACA Number]],Table12716313749617385[NAT Number],Table12716313749617385[run 1 points])</f>
        <v>#N/A</v>
      </c>
      <c r="I16" t="e">
        <f>_xlfn.XLOOKUP(Table121158183[[#This Row],[ACA Number]],Table12716313749617385[NAT Number],Table12716313749617385[run 2 points])</f>
        <v>#N/A</v>
      </c>
      <c r="J16" cm="1">
        <f t="array" ref="J16">_xlfn.LET(_xlpm.r,Table121158183[[#This Row],[PM SL1 R1]:[MF SL1 R2]],_xlpm.m,_xlfn.AGGREGATE(15,6,_xlpm.r/(_xlpm.r&lt;&gt;999.99),1),IFERROR(_xlpm.m,999.99))</f>
        <v>999.99</v>
      </c>
      <c r="L16">
        <v>123269</v>
      </c>
      <c r="M16" t="s">
        <v>783</v>
      </c>
      <c r="N16" t="s">
        <v>770</v>
      </c>
      <c r="O16" t="e">
        <f>_xlfn.XLOOKUP(Table123160185[[#This Row],[ACA Number]],Table127163137496173[NAT Number],Table127163137496173[run 1 points])</f>
        <v>#N/A</v>
      </c>
      <c r="P16" t="e">
        <f>_xlfn.XLOOKUP(Table123160185[[#This Row],[ACA Number]],Table127163137496173[NAT Number],Table127163137496173[run 2 points])</f>
        <v>#N/A</v>
      </c>
      <c r="Q16" t="e">
        <f>_xlfn.XLOOKUP(Table123160185[[#This Row],[ACA Number]],Table127163137496173109[NAT Number],Table127163137496173109[run 1 points])</f>
        <v>#N/A</v>
      </c>
      <c r="R16" t="e">
        <f>_xlfn.XLOOKUP(Table123160185[[#This Row],[ACA Number]],Table127163137496173109[NAT Number],Table127163137496173109[run 2 points])</f>
        <v>#N/A</v>
      </c>
      <c r="S16" t="e">
        <f>_xlfn.XLOOKUP(Table123160185[[#This Row],[ACA Number]],Table127163137496173109115[NAT Number],Table127163137496173109115[run 1 points])</f>
        <v>#N/A</v>
      </c>
      <c r="T16" t="e">
        <f>_xlfn.XLOOKUP(Table123160185[[#This Row],[ACA Number]],Table127163137496173109115[NAT Number],Table127163137496173109115[run 2 points])</f>
        <v>#N/A</v>
      </c>
      <c r="U16" cm="1">
        <f t="array" ref="U16">_xlfn.LET(_xlpm.r,Table123160185[[#This Row],[CM GS1 R1]:[MF GS R2]],_xlpm.m,_xlfn.AGGREGATE(15,6,_xlpm.r/(_xlpm.r&lt;&gt;999.99),1),IFERROR(_xlpm.m,999.99))</f>
        <v>999.99</v>
      </c>
      <c r="W16">
        <v>123269</v>
      </c>
      <c r="X16" t="s">
        <v>783</v>
      </c>
      <c r="Y16" t="s">
        <v>770</v>
      </c>
      <c r="Z16" t="e">
        <f>_xlfn.XLOOKUP(Table124161186[[#This Row],[ACA Number]],Table127[NAT Number],Table127[TT race points])</f>
        <v>#N/A</v>
      </c>
      <c r="AA16" t="e">
        <f>_xlfn.XLOOKUP(Table124161186[[#This Row],[ACA Number]],Table12716[NAT Number],Table12716[TT race points])</f>
        <v>#N/A</v>
      </c>
      <c r="AB16" t="e">
        <f>_xlfn.XLOOKUP(Table124161186[[#This Row],[ACA Number]],Table12716313749617385[NAT Number],Table12716313749617385[TT race points])</f>
        <v>#N/A</v>
      </c>
      <c r="AC16" cm="1">
        <f t="array" ref="AC16">_xlfn.LET(_xlpm.r,Table124161186[[#This Row],[PM SL1]:[MF SL]],_xlpm.m,_xlfn.AGGREGATE(15,6,_xlpm.r/(_xlpm.r&lt;&gt;999.99),1),IFERROR(_xlpm.m,999.99))</f>
        <v>999.99</v>
      </c>
      <c r="AD16" cm="1">
        <f t="array" ref="AD16">_xlfn.LET(_xlpm.r,Table124161186[[#This Row],[PM SL1]:[MF SL]],_xlpm.m,_xlfn.AGGREGATE(15,6,_xlpm.r/(_xlpm.r&lt;&gt;999.99),2),IFERROR(_xlpm.m,999.99))</f>
        <v>999.99</v>
      </c>
      <c r="AF16">
        <v>123269</v>
      </c>
      <c r="AG16" t="s">
        <v>783</v>
      </c>
      <c r="AH16" t="s">
        <v>770</v>
      </c>
      <c r="AI16" t="e">
        <f>_xlfn.XLOOKUP(Table125162187[[#This Row],[ACA Number]],Table127163137496173[NAT Number],Table127163137496173[TT race points])</f>
        <v>#N/A</v>
      </c>
      <c r="AJ16" t="e">
        <f>_xlfn.XLOOKUP(Table125162187[[#This Row],[ACA Number]],Table127163137496173109[NAT Number],Table127163137496173109[TT race points])</f>
        <v>#N/A</v>
      </c>
      <c r="AK16" t="e">
        <f>_xlfn.XLOOKUP(Table125162187[[#This Row],[ACA Number]],Table127163137496173109115[NAT Number],Table127163137496173109115[TT race points])</f>
        <v>#N/A</v>
      </c>
      <c r="AL16" cm="1">
        <f t="array" ref="AL16">_xlfn.LET(_xlpm.r,Table125162187[[#This Row],[CM GS1]:[MF GS]],_xlpm.m,_xlfn.AGGREGATE(15,6,_xlpm.r/(_xlpm.r&lt;&gt;999.99),1),IFERROR(_xlpm.m,999.99))</f>
        <v>999.99</v>
      </c>
      <c r="AM16" cm="1">
        <f t="array" ref="AM16">_xlfn.LET(_xlpm.r,Table125162187[[#This Row],[CM GS1]:[MF GS]],_xlpm.m,_xlfn.AGGREGATE(15,6,_xlpm.r/(_xlpm.r&lt;&gt;999.99),2),IFERROR(_xlpm.m,999.99))</f>
        <v>999.99</v>
      </c>
      <c r="AO16">
        <v>109954</v>
      </c>
      <c r="AP16" t="s">
        <v>769</v>
      </c>
      <c r="AQ16" t="s">
        <v>770</v>
      </c>
      <c r="AR16">
        <f>_xlfn.XLOOKUP(Table126163188[[#This Row],[ACA Number]],Table121158183[ACA Number],Table121158183[Best 1 run SL race])</f>
        <v>999.99</v>
      </c>
      <c r="AS16">
        <f>_xlfn.XLOOKUP(Table126163188[[#This Row],[ACA Number]],Table123160185[ACA Number],Table123160185[Best 1 Run])</f>
        <v>999.99</v>
      </c>
      <c r="AT16">
        <f>_xlfn.XLOOKUP(Table126163188[[#This Row],[ACA Number]],Table124161186[ACA Number],Table124161186[Best result],)</f>
        <v>999.99</v>
      </c>
      <c r="AU16">
        <f>_xlfn.XLOOKUP(Table126163188[[#This Row],[ACA Number]],Table124161186[ACA Number],Table124161186[2nd Best Result])</f>
        <v>999.99</v>
      </c>
      <c r="AV16">
        <f>_xlfn.XLOOKUP(Table126163188[[#This Row],[ACA Number]],Table125162187[ACA Number],Table125162187[Best result])</f>
        <v>999.99</v>
      </c>
      <c r="AW16">
        <f>_xlfn.XLOOKUP(Table126163188[[#This Row],[ACA Number]],Table125162187[ACA Number],Table125162187[2nd Best Result])</f>
        <v>999.99</v>
      </c>
      <c r="AX16">
        <f t="shared" si="0"/>
        <v>5999.94</v>
      </c>
      <c r="AY16">
        <f>_xlfn.RANK.EQ(Table126163188[[#This Row],[Total Points]],Table126163188[Total Points],1)</f>
        <v>14</v>
      </c>
    </row>
    <row r="17" spans="1:51" x14ac:dyDescent="0.3">
      <c r="A17">
        <v>124081</v>
      </c>
      <c r="B17" t="s">
        <v>784</v>
      </c>
      <c r="C17" t="s">
        <v>770</v>
      </c>
      <c r="D17" t="e">
        <f>_xlfn.XLOOKUP(Table121158183[[#This Row],[ACA Number]],Table127[NAT Number],Table127[run 1 points])</f>
        <v>#N/A</v>
      </c>
      <c r="E17" t="e">
        <f>_xlfn.XLOOKUP(Table121158183[[#This Row],[ACA Number]],Table127[NAT Number],Table127[run 2 points])</f>
        <v>#N/A</v>
      </c>
      <c r="F17" t="e">
        <f>_xlfn.XLOOKUP(Table121158183[[#This Row],[ACA Number]],Table12716[NAT Number],Table12716[run 1 points])</f>
        <v>#N/A</v>
      </c>
      <c r="G17" t="e">
        <f>_xlfn.XLOOKUP(Table121158183[[#This Row],[ACA Number]],Table12716[NAT Number],Table12716[run 2 points])</f>
        <v>#N/A</v>
      </c>
      <c r="H17">
        <f>_xlfn.XLOOKUP(Table121158183[[#This Row],[ACA Number]],Table12716313749617385[NAT Number],Table12716313749617385[run 1 points])</f>
        <v>286.82</v>
      </c>
      <c r="I17">
        <f>_xlfn.XLOOKUP(Table121158183[[#This Row],[ACA Number]],Table12716313749617385[NAT Number],Table12716313749617385[run 2 points])</f>
        <v>264.63</v>
      </c>
      <c r="J17" cm="1">
        <f t="array" ref="J17">_xlfn.LET(_xlpm.r,Table121158183[[#This Row],[PM SL1 R1]:[MF SL1 R2]],_xlpm.m,_xlfn.AGGREGATE(15,6,_xlpm.r/(_xlpm.r&lt;&gt;999.99),1),IFERROR(_xlpm.m,999.99))</f>
        <v>264.63</v>
      </c>
      <c r="L17">
        <v>124081</v>
      </c>
      <c r="M17" t="s">
        <v>784</v>
      </c>
      <c r="N17" t="s">
        <v>770</v>
      </c>
      <c r="O17">
        <f>_xlfn.XLOOKUP(Table123160185[[#This Row],[ACA Number]],Table127163137496173[NAT Number],Table127163137496173[run 1 points])</f>
        <v>296.70999999999998</v>
      </c>
      <c r="P17">
        <f>_xlfn.XLOOKUP(Table123160185[[#This Row],[ACA Number]],Table127163137496173[NAT Number],Table127163137496173[run 2 points])</f>
        <v>196.75</v>
      </c>
      <c r="Q17">
        <f>_xlfn.XLOOKUP(Table123160185[[#This Row],[ACA Number]],Table127163137496173109[NAT Number],Table127163137496173109[run 1 points])</f>
        <v>999.99</v>
      </c>
      <c r="R17">
        <f>_xlfn.XLOOKUP(Table123160185[[#This Row],[ACA Number]],Table127163137496173109[NAT Number],Table127163137496173109[run 2 points])</f>
        <v>429.46</v>
      </c>
      <c r="S17">
        <f>_xlfn.XLOOKUP(Table123160185[[#This Row],[ACA Number]],Table127163137496173109115[NAT Number],Table127163137496173109115[run 1 points])</f>
        <v>999.99</v>
      </c>
      <c r="T17">
        <f>_xlfn.XLOOKUP(Table123160185[[#This Row],[ACA Number]],Table127163137496173109115[NAT Number],Table127163137496173109115[run 2 points])</f>
        <v>246.89</v>
      </c>
      <c r="U17" cm="1">
        <f t="array" ref="U17">_xlfn.LET(_xlpm.r,Table123160185[[#This Row],[CM GS1 R1]:[MF GS R2]],_xlpm.m,_xlfn.AGGREGATE(15,6,_xlpm.r/(_xlpm.r&lt;&gt;999.99),1),IFERROR(_xlpm.m,999.99))</f>
        <v>196.75</v>
      </c>
      <c r="W17">
        <v>124081</v>
      </c>
      <c r="X17" t="s">
        <v>784</v>
      </c>
      <c r="Y17" t="s">
        <v>770</v>
      </c>
      <c r="Z17" t="e">
        <f>_xlfn.XLOOKUP(Table124161186[[#This Row],[ACA Number]],Table127[NAT Number],Table127[TT race points])</f>
        <v>#N/A</v>
      </c>
      <c r="AA17" t="e">
        <f>_xlfn.XLOOKUP(Table124161186[[#This Row],[ACA Number]],Table12716[NAT Number],Table12716[TT race points])</f>
        <v>#N/A</v>
      </c>
      <c r="AB17">
        <f>_xlfn.XLOOKUP(Table124161186[[#This Row],[ACA Number]],Table12716313749617385[NAT Number],Table12716313749617385[TT race points])</f>
        <v>275.10000000000002</v>
      </c>
      <c r="AC17" cm="1">
        <f t="array" ref="AC17">_xlfn.LET(_xlpm.r,Table124161186[[#This Row],[PM SL1]:[MF SL]],_xlpm.m,_xlfn.AGGREGATE(15,6,_xlpm.r/(_xlpm.r&lt;&gt;999.99),1),IFERROR(_xlpm.m,999.99))</f>
        <v>275.10000000000002</v>
      </c>
      <c r="AD17" cm="1">
        <f t="array" ref="AD17">_xlfn.LET(_xlpm.r,Table124161186[[#This Row],[PM SL1]:[MF SL]],_xlpm.m,_xlfn.AGGREGATE(15,6,_xlpm.r/(_xlpm.r&lt;&gt;999.99),2),IFERROR(_xlpm.m,999.99))</f>
        <v>999.99</v>
      </c>
      <c r="AF17">
        <v>124081</v>
      </c>
      <c r="AG17" t="s">
        <v>784</v>
      </c>
      <c r="AH17" t="s">
        <v>770</v>
      </c>
      <c r="AI17">
        <f>_xlfn.XLOOKUP(Table125162187[[#This Row],[ACA Number]],Table127163137496173[NAT Number],Table127163137496173[TT race points])</f>
        <v>243.23</v>
      </c>
      <c r="AJ17">
        <f>_xlfn.XLOOKUP(Table125162187[[#This Row],[ACA Number]],Table127163137496173109[NAT Number],Table127163137496173109[TT race points])</f>
        <v>999.99</v>
      </c>
      <c r="AK17">
        <f>_xlfn.XLOOKUP(Table125162187[[#This Row],[ACA Number]],Table127163137496173109115[NAT Number],Table127163137496173109115[TT race points])</f>
        <v>999.99</v>
      </c>
      <c r="AL17" cm="1">
        <f t="array" ref="AL17">_xlfn.LET(_xlpm.r,Table125162187[[#This Row],[CM GS1]:[MF GS]],_xlpm.m,_xlfn.AGGREGATE(15,6,_xlpm.r/(_xlpm.r&lt;&gt;999.99),1),IFERROR(_xlpm.m,999.99))</f>
        <v>243.23</v>
      </c>
      <c r="AM17" cm="1">
        <f t="array" ref="AM17">_xlfn.LET(_xlpm.r,Table125162187[[#This Row],[CM GS1]:[MF GS]],_xlpm.m,_xlfn.AGGREGATE(15,6,_xlpm.r/(_xlpm.r&lt;&gt;999.99),2),IFERROR(_xlpm.m,999.99))</f>
        <v>999.99</v>
      </c>
      <c r="AO17">
        <v>120666</v>
      </c>
      <c r="AP17" t="s">
        <v>775</v>
      </c>
      <c r="AQ17" t="s">
        <v>770</v>
      </c>
      <c r="AR17">
        <f>_xlfn.XLOOKUP(Table126163188[[#This Row],[ACA Number]],Table121158183[ACA Number],Table121158183[Best 1 run SL race])</f>
        <v>999.99</v>
      </c>
      <c r="AS17">
        <f>_xlfn.XLOOKUP(Table126163188[[#This Row],[ACA Number]],Table123160185[ACA Number],Table123160185[Best 1 Run])</f>
        <v>999.99</v>
      </c>
      <c r="AT17">
        <f>_xlfn.XLOOKUP(Table126163188[[#This Row],[ACA Number]],Table124161186[ACA Number],Table124161186[Best result],)</f>
        <v>999.99</v>
      </c>
      <c r="AU17">
        <f>_xlfn.XLOOKUP(Table126163188[[#This Row],[ACA Number]],Table124161186[ACA Number],Table124161186[2nd Best Result])</f>
        <v>999.99</v>
      </c>
      <c r="AV17">
        <f>_xlfn.XLOOKUP(Table126163188[[#This Row],[ACA Number]],Table125162187[ACA Number],Table125162187[Best result])</f>
        <v>999.99</v>
      </c>
      <c r="AW17">
        <f>_xlfn.XLOOKUP(Table126163188[[#This Row],[ACA Number]],Table125162187[ACA Number],Table125162187[2nd Best Result])</f>
        <v>999.99</v>
      </c>
      <c r="AX17">
        <f t="shared" si="0"/>
        <v>5999.94</v>
      </c>
      <c r="AY17">
        <f>_xlfn.RANK.EQ(Table126163188[[#This Row],[Total Points]],Table126163188[Total Points],1)</f>
        <v>14</v>
      </c>
    </row>
    <row r="18" spans="1:51" x14ac:dyDescent="0.3">
      <c r="A18">
        <v>124078</v>
      </c>
      <c r="B18" t="s">
        <v>785</v>
      </c>
      <c r="C18" t="s">
        <v>770</v>
      </c>
      <c r="D18">
        <f>_xlfn.XLOOKUP(Table121158183[[#This Row],[ACA Number]],Table127[NAT Number],Table127[run 1 points])</f>
        <v>999.99</v>
      </c>
      <c r="E18">
        <f>_xlfn.XLOOKUP(Table121158183[[#This Row],[ACA Number]],Table127[NAT Number],Table127[run 2 points])</f>
        <v>999.99</v>
      </c>
      <c r="F18">
        <f>_xlfn.XLOOKUP(Table121158183[[#This Row],[ACA Number]],Table12716[NAT Number],Table12716[run 1 points])</f>
        <v>356.17</v>
      </c>
      <c r="G18">
        <f>_xlfn.XLOOKUP(Table121158183[[#This Row],[ACA Number]],Table12716[NAT Number],Table12716[run 2 points])</f>
        <v>423.87</v>
      </c>
      <c r="H18">
        <f>_xlfn.XLOOKUP(Table121158183[[#This Row],[ACA Number]],Table12716313749617385[NAT Number],Table12716313749617385[run 1 points])</f>
        <v>177.21</v>
      </c>
      <c r="I18">
        <f>_xlfn.XLOOKUP(Table121158183[[#This Row],[ACA Number]],Table12716313749617385[NAT Number],Table12716313749617385[run 2 points])</f>
        <v>174.53</v>
      </c>
      <c r="J18" cm="1">
        <f t="array" ref="J18">_xlfn.LET(_xlpm.r,Table121158183[[#This Row],[PM SL1 R1]:[MF SL1 R2]],_xlpm.m,_xlfn.AGGREGATE(15,6,_xlpm.r/(_xlpm.r&lt;&gt;999.99),1),IFERROR(_xlpm.m,999.99))</f>
        <v>174.53</v>
      </c>
      <c r="L18">
        <v>124078</v>
      </c>
      <c r="M18" t="s">
        <v>785</v>
      </c>
      <c r="N18" t="s">
        <v>770</v>
      </c>
      <c r="O18">
        <f>_xlfn.XLOOKUP(Table123160185[[#This Row],[ACA Number]],Table127163137496173[NAT Number],Table127163137496173[run 1 points])</f>
        <v>277.48</v>
      </c>
      <c r="P18">
        <f>_xlfn.XLOOKUP(Table123160185[[#This Row],[ACA Number]],Table127163137496173[NAT Number],Table127163137496173[run 2 points])</f>
        <v>232.48</v>
      </c>
      <c r="Q18">
        <f>_xlfn.XLOOKUP(Table123160185[[#This Row],[ACA Number]],Table127163137496173109[NAT Number],Table127163137496173109[run 1 points])</f>
        <v>406.4</v>
      </c>
      <c r="R18">
        <f>_xlfn.XLOOKUP(Table123160185[[#This Row],[ACA Number]],Table127163137496173109[NAT Number],Table127163137496173109[run 2 points])</f>
        <v>348.68</v>
      </c>
      <c r="S18">
        <f>_xlfn.XLOOKUP(Table123160185[[#This Row],[ACA Number]],Table127163137496173109115[NAT Number],Table127163137496173109115[run 1 points])</f>
        <v>140.22</v>
      </c>
      <c r="T18">
        <f>_xlfn.XLOOKUP(Table123160185[[#This Row],[ACA Number]],Table127163137496173109115[NAT Number],Table127163137496173109115[run 2 points])</f>
        <v>87.74</v>
      </c>
      <c r="U18" cm="1">
        <f t="array" ref="U18">_xlfn.LET(_xlpm.r,Table123160185[[#This Row],[CM GS1 R1]:[MF GS R2]],_xlpm.m,_xlfn.AGGREGATE(15,6,_xlpm.r/(_xlpm.r&lt;&gt;999.99),1),IFERROR(_xlpm.m,999.99))</f>
        <v>87.74</v>
      </c>
      <c r="W18">
        <v>124078</v>
      </c>
      <c r="X18" t="s">
        <v>785</v>
      </c>
      <c r="Y18" t="s">
        <v>770</v>
      </c>
      <c r="Z18">
        <f>_xlfn.XLOOKUP(Table124161186[[#This Row],[ACA Number]],Table127[NAT Number],Table127[TT race points])</f>
        <v>999.99</v>
      </c>
      <c r="AA18">
        <f>_xlfn.XLOOKUP(Table124161186[[#This Row],[ACA Number]],Table12716[NAT Number],Table12716[TT race points])</f>
        <v>379.91</v>
      </c>
      <c r="AB18">
        <f>_xlfn.XLOOKUP(Table124161186[[#This Row],[ACA Number]],Table12716313749617385[NAT Number],Table12716313749617385[TT race points])</f>
        <v>175.79</v>
      </c>
      <c r="AC18" cm="1">
        <f t="array" ref="AC18">_xlfn.LET(_xlpm.r,Table124161186[[#This Row],[PM SL1]:[MF SL]],_xlpm.m,_xlfn.AGGREGATE(15,6,_xlpm.r/(_xlpm.r&lt;&gt;999.99),1),IFERROR(_xlpm.m,999.99))</f>
        <v>175.79</v>
      </c>
      <c r="AD18" cm="1">
        <f t="array" ref="AD18">_xlfn.LET(_xlpm.r,Table124161186[[#This Row],[PM SL1]:[MF SL]],_xlpm.m,_xlfn.AGGREGATE(15,6,_xlpm.r/(_xlpm.r&lt;&gt;999.99),2),IFERROR(_xlpm.m,999.99))</f>
        <v>379.91</v>
      </c>
      <c r="AF18">
        <v>124078</v>
      </c>
      <c r="AG18" t="s">
        <v>785</v>
      </c>
      <c r="AH18" t="s">
        <v>770</v>
      </c>
      <c r="AI18">
        <f>_xlfn.XLOOKUP(Table125162187[[#This Row],[ACA Number]],Table127163137496173[NAT Number],Table127163137496173[TT race points])</f>
        <v>251.16</v>
      </c>
      <c r="AJ18">
        <f>_xlfn.XLOOKUP(Table125162187[[#This Row],[ACA Number]],Table127163137496173109[NAT Number],Table127163137496173109[TT race points])</f>
        <v>376.21</v>
      </c>
      <c r="AK18">
        <f>_xlfn.XLOOKUP(Table125162187[[#This Row],[ACA Number]],Table127163137496173109115[NAT Number],Table127163137496173109115[TT race points])</f>
        <v>111.42</v>
      </c>
      <c r="AL18" cm="1">
        <f t="array" ref="AL18">_xlfn.LET(_xlpm.r,Table125162187[[#This Row],[CM GS1]:[MF GS]],_xlpm.m,_xlfn.AGGREGATE(15,6,_xlpm.r/(_xlpm.r&lt;&gt;999.99),1),IFERROR(_xlpm.m,999.99))</f>
        <v>111.42</v>
      </c>
      <c r="AM18" cm="1">
        <f t="array" ref="AM18">_xlfn.LET(_xlpm.r,Table125162187[[#This Row],[CM GS1]:[MF GS]],_xlpm.m,_xlfn.AGGREGATE(15,6,_xlpm.r/(_xlpm.r&lt;&gt;999.99),2),IFERROR(_xlpm.m,999.99))</f>
        <v>251.16</v>
      </c>
      <c r="AO18">
        <v>109927</v>
      </c>
      <c r="AP18" t="s">
        <v>778</v>
      </c>
      <c r="AQ18" t="s">
        <v>770</v>
      </c>
      <c r="AR18">
        <f>_xlfn.XLOOKUP(Table126163188[[#This Row],[ACA Number]],Table121158183[ACA Number],Table121158183[Best 1 run SL race])</f>
        <v>999.99</v>
      </c>
      <c r="AS18">
        <f>_xlfn.XLOOKUP(Table126163188[[#This Row],[ACA Number]],Table123160185[ACA Number],Table123160185[Best 1 Run])</f>
        <v>999.99</v>
      </c>
      <c r="AT18">
        <f>_xlfn.XLOOKUP(Table126163188[[#This Row],[ACA Number]],Table124161186[ACA Number],Table124161186[Best result],)</f>
        <v>999.99</v>
      </c>
      <c r="AU18">
        <f>_xlfn.XLOOKUP(Table126163188[[#This Row],[ACA Number]],Table124161186[ACA Number],Table124161186[2nd Best Result])</f>
        <v>999.99</v>
      </c>
      <c r="AV18">
        <f>_xlfn.XLOOKUP(Table126163188[[#This Row],[ACA Number]],Table125162187[ACA Number],Table125162187[Best result])</f>
        <v>999.99</v>
      </c>
      <c r="AW18">
        <f>_xlfn.XLOOKUP(Table126163188[[#This Row],[ACA Number]],Table125162187[ACA Number],Table125162187[2nd Best Result])</f>
        <v>999.99</v>
      </c>
      <c r="AX18">
        <f t="shared" si="0"/>
        <v>5999.94</v>
      </c>
      <c r="AY18">
        <f>_xlfn.RANK.EQ(Table126163188[[#This Row],[Total Points]],Table126163188[Total Points],1)</f>
        <v>14</v>
      </c>
    </row>
    <row r="19" spans="1:51" x14ac:dyDescent="0.3">
      <c r="A19">
        <v>124075</v>
      </c>
      <c r="B19" t="s">
        <v>786</v>
      </c>
      <c r="C19" t="s">
        <v>770</v>
      </c>
      <c r="D19">
        <f>_xlfn.XLOOKUP(Table121158183[[#This Row],[ACA Number]],Table127[NAT Number],Table127[run 1 points])</f>
        <v>744.65</v>
      </c>
      <c r="E19">
        <f>_xlfn.XLOOKUP(Table121158183[[#This Row],[ACA Number]],Table127[NAT Number],Table127[run 2 points])</f>
        <v>649.16</v>
      </c>
      <c r="F19">
        <f>_xlfn.XLOOKUP(Table121158183[[#This Row],[ACA Number]],Table12716[NAT Number],Table12716[run 1 points])</f>
        <v>633.66999999999996</v>
      </c>
      <c r="G19">
        <f>_xlfn.XLOOKUP(Table121158183[[#This Row],[ACA Number]],Table12716[NAT Number],Table12716[run 2 points])</f>
        <v>662.06</v>
      </c>
      <c r="H19">
        <f>_xlfn.XLOOKUP(Table121158183[[#This Row],[ACA Number]],Table12716313749617385[NAT Number],Table12716313749617385[run 1 points])</f>
        <v>427.38</v>
      </c>
      <c r="I19">
        <f>_xlfn.XLOOKUP(Table121158183[[#This Row],[ACA Number]],Table12716313749617385[NAT Number],Table12716313749617385[run 2 points])</f>
        <v>389.09</v>
      </c>
      <c r="J19" cm="1">
        <f t="array" ref="J19">_xlfn.LET(_xlpm.r,Table121158183[[#This Row],[PM SL1 R1]:[MF SL1 R2]],_xlpm.m,_xlfn.AGGREGATE(15,6,_xlpm.r/(_xlpm.r&lt;&gt;999.99),1),IFERROR(_xlpm.m,999.99))</f>
        <v>389.09</v>
      </c>
      <c r="L19">
        <v>124075</v>
      </c>
      <c r="M19" t="s">
        <v>786</v>
      </c>
      <c r="N19" t="s">
        <v>770</v>
      </c>
      <c r="O19">
        <f>_xlfn.XLOOKUP(Table123160185[[#This Row],[ACA Number]],Table127163137496173[NAT Number],Table127163137496173[run 1 points])</f>
        <v>506.82</v>
      </c>
      <c r="P19">
        <f>_xlfn.XLOOKUP(Table123160185[[#This Row],[ACA Number]],Table127163137496173[NAT Number],Table127163137496173[run 2 points])</f>
        <v>999.99</v>
      </c>
      <c r="Q19">
        <f>_xlfn.XLOOKUP(Table123160185[[#This Row],[ACA Number]],Table127163137496173109[NAT Number],Table127163137496173109[run 1 points])</f>
        <v>622.64</v>
      </c>
      <c r="R19">
        <f>_xlfn.XLOOKUP(Table123160185[[#This Row],[ACA Number]],Table127163137496173109[NAT Number],Table127163137496173109[run 2 points])</f>
        <v>578.29999999999995</v>
      </c>
      <c r="S19">
        <f>_xlfn.XLOOKUP(Table123160185[[#This Row],[ACA Number]],Table127163137496173109115[NAT Number],Table127163137496173109115[run 1 points])</f>
        <v>999.99</v>
      </c>
      <c r="T19">
        <f>_xlfn.XLOOKUP(Table123160185[[#This Row],[ACA Number]],Table127163137496173109115[NAT Number],Table127163137496173109115[run 2 points])</f>
        <v>371.03</v>
      </c>
      <c r="U19" cm="1">
        <f t="array" ref="U19">_xlfn.LET(_xlpm.r,Table123160185[[#This Row],[CM GS1 R1]:[MF GS R2]],_xlpm.m,_xlfn.AGGREGATE(15,6,_xlpm.r/(_xlpm.r&lt;&gt;999.99),1),IFERROR(_xlpm.m,999.99))</f>
        <v>371.03</v>
      </c>
      <c r="W19">
        <v>124075</v>
      </c>
      <c r="X19" t="s">
        <v>786</v>
      </c>
      <c r="Y19" t="s">
        <v>770</v>
      </c>
      <c r="Z19">
        <f>_xlfn.XLOOKUP(Table124161186[[#This Row],[ACA Number]],Table127[NAT Number],Table127[TT race points])</f>
        <v>693.81</v>
      </c>
      <c r="AA19">
        <f>_xlfn.XLOOKUP(Table124161186[[#This Row],[ACA Number]],Table12716[NAT Number],Table12716[TT race points])</f>
        <v>635.66999999999996</v>
      </c>
      <c r="AB19">
        <f>_xlfn.XLOOKUP(Table124161186[[#This Row],[ACA Number]],Table12716313749617385[NAT Number],Table12716313749617385[TT race points])</f>
        <v>407.16</v>
      </c>
      <c r="AC19" cm="1">
        <f t="array" ref="AC19">_xlfn.LET(_xlpm.r,Table124161186[[#This Row],[PM SL1]:[MF SL]],_xlpm.m,_xlfn.AGGREGATE(15,6,_xlpm.r/(_xlpm.r&lt;&gt;999.99),1),IFERROR(_xlpm.m,999.99))</f>
        <v>407.16</v>
      </c>
      <c r="AD19" cm="1">
        <f t="array" ref="AD19">_xlfn.LET(_xlpm.r,Table124161186[[#This Row],[PM SL1]:[MF SL]],_xlpm.m,_xlfn.AGGREGATE(15,6,_xlpm.r/(_xlpm.r&lt;&gt;999.99),2),IFERROR(_xlpm.m,999.99))</f>
        <v>635.66999999999996</v>
      </c>
      <c r="AF19">
        <v>124075</v>
      </c>
      <c r="AG19" t="s">
        <v>786</v>
      </c>
      <c r="AH19" t="s">
        <v>770</v>
      </c>
      <c r="AI19">
        <f>_xlfn.XLOOKUP(Table125162187[[#This Row],[ACA Number]],Table127163137496173[NAT Number],Table127163137496173[TT race points])</f>
        <v>999.99</v>
      </c>
      <c r="AJ19">
        <f>_xlfn.XLOOKUP(Table125162187[[#This Row],[ACA Number]],Table127163137496173109[NAT Number],Table127163137496173109[TT race points])</f>
        <v>599.44000000000005</v>
      </c>
      <c r="AK19">
        <f>_xlfn.XLOOKUP(Table125162187[[#This Row],[ACA Number]],Table127163137496173109115[NAT Number],Table127163137496173109115[TT race points])</f>
        <v>999.99</v>
      </c>
      <c r="AL19" cm="1">
        <f t="array" ref="AL19">_xlfn.LET(_xlpm.r,Table125162187[[#This Row],[CM GS1]:[MF GS]],_xlpm.m,_xlfn.AGGREGATE(15,6,_xlpm.r/(_xlpm.r&lt;&gt;999.99),1),IFERROR(_xlpm.m,999.99))</f>
        <v>599.44000000000005</v>
      </c>
      <c r="AM19" cm="1">
        <f t="array" ref="AM19">_xlfn.LET(_xlpm.r,Table125162187[[#This Row],[CM GS1]:[MF GS]],_xlpm.m,_xlfn.AGGREGATE(15,6,_xlpm.r/(_xlpm.r&lt;&gt;999.99),2),IFERROR(_xlpm.m,999.99))</f>
        <v>999.99</v>
      </c>
      <c r="AO19">
        <v>110625</v>
      </c>
      <c r="AP19" t="s">
        <v>780</v>
      </c>
      <c r="AQ19" t="s">
        <v>770</v>
      </c>
      <c r="AR19">
        <f>_xlfn.XLOOKUP(Table126163188[[#This Row],[ACA Number]],Table121158183[ACA Number],Table121158183[Best 1 run SL race])</f>
        <v>999.99</v>
      </c>
      <c r="AS19">
        <f>_xlfn.XLOOKUP(Table126163188[[#This Row],[ACA Number]],Table123160185[ACA Number],Table123160185[Best 1 Run])</f>
        <v>999.99</v>
      </c>
      <c r="AT19">
        <f>_xlfn.XLOOKUP(Table126163188[[#This Row],[ACA Number]],Table124161186[ACA Number],Table124161186[Best result],)</f>
        <v>999.99</v>
      </c>
      <c r="AU19">
        <f>_xlfn.XLOOKUP(Table126163188[[#This Row],[ACA Number]],Table124161186[ACA Number],Table124161186[2nd Best Result])</f>
        <v>999.99</v>
      </c>
      <c r="AV19">
        <f>_xlfn.XLOOKUP(Table126163188[[#This Row],[ACA Number]],Table125162187[ACA Number],Table125162187[Best result])</f>
        <v>999.99</v>
      </c>
      <c r="AW19">
        <f>_xlfn.XLOOKUP(Table126163188[[#This Row],[ACA Number]],Table125162187[ACA Number],Table125162187[2nd Best Result])</f>
        <v>999.99</v>
      </c>
      <c r="AX19">
        <f t="shared" si="0"/>
        <v>5999.94</v>
      </c>
      <c r="AY19">
        <f>_xlfn.RANK.EQ(Table126163188[[#This Row],[Total Points]],Table126163188[Total Points],1)</f>
        <v>14</v>
      </c>
    </row>
    <row r="20" spans="1:51" x14ac:dyDescent="0.3">
      <c r="A20">
        <v>120661</v>
      </c>
      <c r="B20" t="s">
        <v>787</v>
      </c>
      <c r="C20" t="s">
        <v>770</v>
      </c>
      <c r="D20">
        <f>_xlfn.XLOOKUP(Table121158183[[#This Row],[ACA Number]],Table127[NAT Number],Table127[run 1 points])</f>
        <v>414.03</v>
      </c>
      <c r="E20">
        <f>_xlfn.XLOOKUP(Table121158183[[#This Row],[ACA Number]],Table127[NAT Number],Table127[run 2 points])</f>
        <v>231.4</v>
      </c>
      <c r="F20">
        <f>_xlfn.XLOOKUP(Table121158183[[#This Row],[ACA Number]],Table12716[NAT Number],Table12716[run 1 points])</f>
        <v>999.99</v>
      </c>
      <c r="G20">
        <f>_xlfn.XLOOKUP(Table121158183[[#This Row],[ACA Number]],Table12716[NAT Number],Table12716[run 2 points])</f>
        <v>999.99</v>
      </c>
      <c r="H20">
        <f>_xlfn.XLOOKUP(Table121158183[[#This Row],[ACA Number]],Table12716313749617385[NAT Number],Table12716313749617385[run 1 points])</f>
        <v>95.12</v>
      </c>
      <c r="I20">
        <f>_xlfn.XLOOKUP(Table121158183[[#This Row],[ACA Number]],Table12716313749617385[NAT Number],Table12716313749617385[run 2 points])</f>
        <v>91.85</v>
      </c>
      <c r="J20" cm="1">
        <f t="array" ref="J20">_xlfn.LET(_xlpm.r,Table121158183[[#This Row],[PM SL1 R1]:[MF SL1 R2]],_xlpm.m,_xlfn.AGGREGATE(15,6,_xlpm.r/(_xlpm.r&lt;&gt;999.99),1),IFERROR(_xlpm.m,999.99))</f>
        <v>91.85</v>
      </c>
      <c r="L20">
        <v>120661</v>
      </c>
      <c r="M20" t="s">
        <v>787</v>
      </c>
      <c r="N20" t="s">
        <v>770</v>
      </c>
      <c r="O20">
        <f>_xlfn.XLOOKUP(Table123160185[[#This Row],[ACA Number]],Table127163137496173[NAT Number],Table127163137496173[run 1 points])</f>
        <v>226.96</v>
      </c>
      <c r="P20">
        <f>_xlfn.XLOOKUP(Table123160185[[#This Row],[ACA Number]],Table127163137496173[NAT Number],Table127163137496173[run 2 points])</f>
        <v>144.08000000000001</v>
      </c>
      <c r="Q20">
        <f>_xlfn.XLOOKUP(Table123160185[[#This Row],[ACA Number]],Table127163137496173109[NAT Number],Table127163137496173109[run 1 points])</f>
        <v>237.08</v>
      </c>
      <c r="R20">
        <f>_xlfn.XLOOKUP(Table123160185[[#This Row],[ACA Number]],Table127163137496173109[NAT Number],Table127163137496173109[run 2 points])</f>
        <v>245.17</v>
      </c>
      <c r="S20">
        <f>_xlfn.XLOOKUP(Table123160185[[#This Row],[ACA Number]],Table127163137496173109115[NAT Number],Table127163137496173109115[run 1 points])</f>
        <v>87.08</v>
      </c>
      <c r="T20">
        <f>_xlfn.XLOOKUP(Table123160185[[#This Row],[ACA Number]],Table127163137496173109115[NAT Number],Table127163137496173109115[run 2 points])</f>
        <v>33.840000000000003</v>
      </c>
      <c r="U20" cm="1">
        <f t="array" ref="U20">_xlfn.LET(_xlpm.r,Table123160185[[#This Row],[CM GS1 R1]:[MF GS R2]],_xlpm.m,_xlfn.AGGREGATE(15,6,_xlpm.r/(_xlpm.r&lt;&gt;999.99),1),IFERROR(_xlpm.m,999.99))</f>
        <v>33.840000000000003</v>
      </c>
      <c r="W20">
        <v>120661</v>
      </c>
      <c r="X20" t="s">
        <v>787</v>
      </c>
      <c r="Y20" t="s">
        <v>770</v>
      </c>
      <c r="Z20">
        <f>_xlfn.XLOOKUP(Table124161186[[#This Row],[ACA Number]],Table127[NAT Number],Table127[TT race points])</f>
        <v>316.77999999999997</v>
      </c>
      <c r="AA20">
        <f>_xlfn.XLOOKUP(Table124161186[[#This Row],[ACA Number]],Table12716[NAT Number],Table12716[TT race points])</f>
        <v>999.99</v>
      </c>
      <c r="AB20">
        <f>_xlfn.XLOOKUP(Table124161186[[#This Row],[ACA Number]],Table12716313749617385[NAT Number],Table12716313749617385[TT race points])</f>
        <v>93.39</v>
      </c>
      <c r="AC20" cm="1">
        <f t="array" ref="AC20">_xlfn.LET(_xlpm.r,Table124161186[[#This Row],[PM SL1]:[MF SL]],_xlpm.m,_xlfn.AGGREGATE(15,6,_xlpm.r/(_xlpm.r&lt;&gt;999.99),1),IFERROR(_xlpm.m,999.99))</f>
        <v>93.39</v>
      </c>
      <c r="AD20" cm="1">
        <f t="array" ref="AD20">_xlfn.LET(_xlpm.r,Table124161186[[#This Row],[PM SL1]:[MF SL]],_xlpm.m,_xlfn.AGGREGATE(15,6,_xlpm.r/(_xlpm.r&lt;&gt;999.99),2),IFERROR(_xlpm.m,999.99))</f>
        <v>316.77999999999997</v>
      </c>
      <c r="AF20">
        <v>120661</v>
      </c>
      <c r="AG20" t="s">
        <v>787</v>
      </c>
      <c r="AH20" t="s">
        <v>770</v>
      </c>
      <c r="AI20">
        <f>_xlfn.XLOOKUP(Table125162187[[#This Row],[ACA Number]],Table127163137496173[NAT Number],Table127163137496173[TT race points])</f>
        <v>182.13</v>
      </c>
      <c r="AJ20">
        <f>_xlfn.XLOOKUP(Table125162187[[#This Row],[ACA Number]],Table127163137496173109[NAT Number],Table127163137496173109[TT race points])</f>
        <v>241.31</v>
      </c>
      <c r="AK20">
        <f>_xlfn.XLOOKUP(Table125162187[[#This Row],[ACA Number]],Table127163137496173109115[NAT Number],Table127163137496173109115[TT race points])</f>
        <v>58</v>
      </c>
      <c r="AL20" cm="1">
        <f t="array" ref="AL20">_xlfn.LET(_xlpm.r,Table125162187[[#This Row],[CM GS1]:[MF GS]],_xlpm.m,_xlfn.AGGREGATE(15,6,_xlpm.r/(_xlpm.r&lt;&gt;999.99),1),IFERROR(_xlpm.m,999.99))</f>
        <v>58</v>
      </c>
      <c r="AM20" cm="1">
        <f t="array" ref="AM20">_xlfn.LET(_xlpm.r,Table125162187[[#This Row],[CM GS1]:[MF GS]],_xlpm.m,_xlfn.AGGREGATE(15,6,_xlpm.r/(_xlpm.r&lt;&gt;999.99),2),IFERROR(_xlpm.m,999.99))</f>
        <v>182.13</v>
      </c>
      <c r="AO20">
        <v>123263</v>
      </c>
      <c r="AP20" t="s">
        <v>781</v>
      </c>
      <c r="AQ20" t="s">
        <v>770</v>
      </c>
      <c r="AR20">
        <f>_xlfn.XLOOKUP(Table126163188[[#This Row],[ACA Number]],Table121158183[ACA Number],Table121158183[Best 1 run SL race])</f>
        <v>999.99</v>
      </c>
      <c r="AS20">
        <f>_xlfn.XLOOKUP(Table126163188[[#This Row],[ACA Number]],Table123160185[ACA Number],Table123160185[Best 1 Run])</f>
        <v>999.99</v>
      </c>
      <c r="AT20">
        <f>_xlfn.XLOOKUP(Table126163188[[#This Row],[ACA Number]],Table124161186[ACA Number],Table124161186[Best result],)</f>
        <v>999.99</v>
      </c>
      <c r="AU20">
        <f>_xlfn.XLOOKUP(Table126163188[[#This Row],[ACA Number]],Table124161186[ACA Number],Table124161186[2nd Best Result])</f>
        <v>999.99</v>
      </c>
      <c r="AV20">
        <f>_xlfn.XLOOKUP(Table126163188[[#This Row],[ACA Number]],Table125162187[ACA Number],Table125162187[Best result])</f>
        <v>999.99</v>
      </c>
      <c r="AW20">
        <f>_xlfn.XLOOKUP(Table126163188[[#This Row],[ACA Number]],Table125162187[ACA Number],Table125162187[2nd Best Result])</f>
        <v>999.99</v>
      </c>
      <c r="AX20">
        <f t="shared" si="0"/>
        <v>5999.94</v>
      </c>
      <c r="AY20">
        <f>_xlfn.RANK.EQ(Table126163188[[#This Row],[Total Points]],Table126163188[Total Points],1)</f>
        <v>14</v>
      </c>
    </row>
    <row r="21" spans="1:51" x14ac:dyDescent="0.3">
      <c r="A21">
        <v>119078</v>
      </c>
      <c r="B21" t="s">
        <v>788</v>
      </c>
      <c r="C21" t="s">
        <v>770</v>
      </c>
      <c r="D21">
        <f>_xlfn.XLOOKUP(Table121158183[[#This Row],[ACA Number]],Table127[NAT Number],Table127[run 1 points])</f>
        <v>999.99</v>
      </c>
      <c r="E21">
        <f>_xlfn.XLOOKUP(Table121158183[[#This Row],[ACA Number]],Table127[NAT Number],Table127[run 2 points])</f>
        <v>57.45</v>
      </c>
      <c r="F21">
        <f>_xlfn.XLOOKUP(Table121158183[[#This Row],[ACA Number]],Table12716[NAT Number],Table12716[run 1 points])</f>
        <v>62.44</v>
      </c>
      <c r="G21">
        <f>_xlfn.XLOOKUP(Table121158183[[#This Row],[ACA Number]],Table12716[NAT Number],Table12716[run 2 points])</f>
        <v>135.88</v>
      </c>
      <c r="H21">
        <f>_xlfn.XLOOKUP(Table121158183[[#This Row],[ACA Number]],Table12716313749617385[NAT Number],Table12716313749617385[run 1 points])</f>
        <v>72.48</v>
      </c>
      <c r="I21">
        <f>_xlfn.XLOOKUP(Table121158183[[#This Row],[ACA Number]],Table12716313749617385[NAT Number],Table12716313749617385[run 2 points])</f>
        <v>90.83</v>
      </c>
      <c r="J21" cm="1">
        <f t="array" ref="J21">_xlfn.LET(_xlpm.r,Table121158183[[#This Row],[PM SL1 R1]:[MF SL1 R2]],_xlpm.m,_xlfn.AGGREGATE(15,6,_xlpm.r/(_xlpm.r&lt;&gt;999.99),1),IFERROR(_xlpm.m,999.99))</f>
        <v>57.45</v>
      </c>
      <c r="L21">
        <v>119078</v>
      </c>
      <c r="M21" t="s">
        <v>788</v>
      </c>
      <c r="N21" t="s">
        <v>770</v>
      </c>
      <c r="O21">
        <f>_xlfn.XLOOKUP(Table123160185[[#This Row],[ACA Number]],Table127163137496173[NAT Number],Table127163137496173[run 1 points])</f>
        <v>6.46</v>
      </c>
      <c r="P21">
        <f>_xlfn.XLOOKUP(Table123160185[[#This Row],[ACA Number]],Table127163137496173[NAT Number],Table127163137496173[run 2 points])</f>
        <v>0</v>
      </c>
      <c r="Q21">
        <f>_xlfn.XLOOKUP(Table123160185[[#This Row],[ACA Number]],Table127163137496173109[NAT Number],Table127163137496173109[run 1 points])</f>
        <v>110.91</v>
      </c>
      <c r="R21">
        <f>_xlfn.XLOOKUP(Table123160185[[#This Row],[ACA Number]],Table127163137496173109[NAT Number],Table127163137496173109[run 2 points])</f>
        <v>89.3</v>
      </c>
      <c r="S21">
        <f>_xlfn.XLOOKUP(Table123160185[[#This Row],[ACA Number]],Table127163137496173109115[NAT Number],Table127163137496173109115[run 1 points])</f>
        <v>46.47</v>
      </c>
      <c r="T21">
        <f>_xlfn.XLOOKUP(Table123160185[[#This Row],[ACA Number]],Table127163137496173109115[NAT Number],Table127163137496173109115[run 2 points])</f>
        <v>999.99</v>
      </c>
      <c r="U21" cm="1">
        <f t="array" ref="U21">_xlfn.LET(_xlpm.r,Table123160185[[#This Row],[CM GS1 R1]:[MF GS R2]],_xlpm.m,_xlfn.AGGREGATE(15,6,_xlpm.r/(_xlpm.r&lt;&gt;999.99),1),IFERROR(_xlpm.m,999.99))</f>
        <v>0</v>
      </c>
      <c r="W21">
        <v>119078</v>
      </c>
      <c r="X21" t="s">
        <v>788</v>
      </c>
      <c r="Y21" t="s">
        <v>770</v>
      </c>
      <c r="Z21">
        <f>_xlfn.XLOOKUP(Table124161186[[#This Row],[ACA Number]],Table127[NAT Number],Table127[TT race points])</f>
        <v>999.99</v>
      </c>
      <c r="AA21">
        <f>_xlfn.XLOOKUP(Table124161186[[#This Row],[ACA Number]],Table12716[NAT Number],Table12716[TT race points])</f>
        <v>91.57</v>
      </c>
      <c r="AB21">
        <f>_xlfn.XLOOKUP(Table124161186[[#This Row],[ACA Number]],Table12716313749617385[NAT Number],Table12716313749617385[TT race points])</f>
        <v>82.17</v>
      </c>
      <c r="AC21" cm="1">
        <f t="array" ref="AC21">_xlfn.LET(_xlpm.r,Table124161186[[#This Row],[PM SL1]:[MF SL]],_xlpm.m,_xlfn.AGGREGATE(15,6,_xlpm.r/(_xlpm.r&lt;&gt;999.99),1),IFERROR(_xlpm.m,999.99))</f>
        <v>82.17</v>
      </c>
      <c r="AD21" cm="1">
        <f t="array" ref="AD21">_xlfn.LET(_xlpm.r,Table124161186[[#This Row],[PM SL1]:[MF SL]],_xlpm.m,_xlfn.AGGREGATE(15,6,_xlpm.r/(_xlpm.r&lt;&gt;999.99),2),IFERROR(_xlpm.m,999.99))</f>
        <v>91.57</v>
      </c>
      <c r="AF21">
        <v>119078</v>
      </c>
      <c r="AG21" t="s">
        <v>788</v>
      </c>
      <c r="AH21" t="s">
        <v>770</v>
      </c>
      <c r="AI21">
        <f>_xlfn.XLOOKUP(Table125162187[[#This Row],[ACA Number]],Table127163137496173[NAT Number],Table127163137496173[TT race points])</f>
        <v>0</v>
      </c>
      <c r="AJ21">
        <f>_xlfn.XLOOKUP(Table125162187[[#This Row],[ACA Number]],Table127163137496173109[NAT Number],Table127163137496173109[TT race points])</f>
        <v>99.61</v>
      </c>
      <c r="AK21">
        <f>_xlfn.XLOOKUP(Table125162187[[#This Row],[ACA Number]],Table127163137496173109115[NAT Number],Table127163137496173109115[TT race points])</f>
        <v>999.99</v>
      </c>
      <c r="AL21" cm="1">
        <f t="array" ref="AL21">_xlfn.LET(_xlpm.r,Table125162187[[#This Row],[CM GS1]:[MF GS]],_xlpm.m,_xlfn.AGGREGATE(15,6,_xlpm.r/(_xlpm.r&lt;&gt;999.99),1),IFERROR(_xlpm.m,999.99))</f>
        <v>0</v>
      </c>
      <c r="AM21" cm="1">
        <f t="array" ref="AM21">_xlfn.LET(_xlpm.r,Table125162187[[#This Row],[CM GS1]:[MF GS]],_xlpm.m,_xlfn.AGGREGATE(15,6,_xlpm.r/(_xlpm.r&lt;&gt;999.99),2),IFERROR(_xlpm.m,999.99))</f>
        <v>99.61</v>
      </c>
      <c r="AO21">
        <v>126989</v>
      </c>
      <c r="AP21" t="s">
        <v>782</v>
      </c>
      <c r="AQ21" t="s">
        <v>770</v>
      </c>
      <c r="AR21">
        <f>_xlfn.XLOOKUP(Table126163188[[#This Row],[ACA Number]],Table121158183[ACA Number],Table121158183[Best 1 run SL race])</f>
        <v>999.99</v>
      </c>
      <c r="AS21">
        <f>_xlfn.XLOOKUP(Table126163188[[#This Row],[ACA Number]],Table123160185[ACA Number],Table123160185[Best 1 Run])</f>
        <v>999.99</v>
      </c>
      <c r="AT21">
        <f>_xlfn.XLOOKUP(Table126163188[[#This Row],[ACA Number]],Table124161186[ACA Number],Table124161186[Best result],)</f>
        <v>999.99</v>
      </c>
      <c r="AU21">
        <f>_xlfn.XLOOKUP(Table126163188[[#This Row],[ACA Number]],Table124161186[ACA Number],Table124161186[2nd Best Result])</f>
        <v>999.99</v>
      </c>
      <c r="AV21">
        <f>_xlfn.XLOOKUP(Table126163188[[#This Row],[ACA Number]],Table125162187[ACA Number],Table125162187[Best result])</f>
        <v>999.99</v>
      </c>
      <c r="AW21">
        <f>_xlfn.XLOOKUP(Table126163188[[#This Row],[ACA Number]],Table125162187[ACA Number],Table125162187[2nd Best Result])</f>
        <v>999.99</v>
      </c>
      <c r="AX21">
        <f t="shared" si="0"/>
        <v>5999.94</v>
      </c>
      <c r="AY21">
        <f>_xlfn.RANK.EQ(Table126163188[[#This Row],[Total Points]],Table126163188[Total Points],1)</f>
        <v>14</v>
      </c>
    </row>
    <row r="22" spans="1:51" x14ac:dyDescent="0.3">
      <c r="A22">
        <v>124079</v>
      </c>
      <c r="B22" t="s">
        <v>789</v>
      </c>
      <c r="C22" t="s">
        <v>770</v>
      </c>
      <c r="D22">
        <f>_xlfn.XLOOKUP(Table121158183[[#This Row],[ACA Number]],Table127[NAT Number],Table127[run 1 points])</f>
        <v>611.79999999999995</v>
      </c>
      <c r="E22">
        <f>_xlfn.XLOOKUP(Table121158183[[#This Row],[ACA Number]],Table127[NAT Number],Table127[run 2 points])</f>
        <v>629.87</v>
      </c>
      <c r="F22">
        <f>_xlfn.XLOOKUP(Table121158183[[#This Row],[ACA Number]],Table12716[NAT Number],Table12716[run 1 points])</f>
        <v>620.41999999999996</v>
      </c>
      <c r="G22">
        <f>_xlfn.XLOOKUP(Table121158183[[#This Row],[ACA Number]],Table12716[NAT Number],Table12716[run 2 points])</f>
        <v>684.55</v>
      </c>
      <c r="H22" t="e">
        <f>_xlfn.XLOOKUP(Table121158183[[#This Row],[ACA Number]],Table12716313749617385[NAT Number],Table12716313749617385[run 1 points])</f>
        <v>#N/A</v>
      </c>
      <c r="I22" t="e">
        <f>_xlfn.XLOOKUP(Table121158183[[#This Row],[ACA Number]],Table12716313749617385[NAT Number],Table12716313749617385[run 2 points])</f>
        <v>#N/A</v>
      </c>
      <c r="J22" cm="1">
        <f t="array" ref="J22">_xlfn.LET(_xlpm.r,Table121158183[[#This Row],[PM SL1 R1]:[MF SL1 R2]],_xlpm.m,_xlfn.AGGREGATE(15,6,_xlpm.r/(_xlpm.r&lt;&gt;999.99),1),IFERROR(_xlpm.m,999.99))</f>
        <v>611.79999999999995</v>
      </c>
      <c r="L22">
        <v>124079</v>
      </c>
      <c r="M22" t="s">
        <v>789</v>
      </c>
      <c r="N22" t="s">
        <v>770</v>
      </c>
      <c r="O22">
        <f>_xlfn.XLOOKUP(Table123160185[[#This Row],[ACA Number]],Table127163137496173[NAT Number],Table127163137496173[run 1 points])</f>
        <v>795.4</v>
      </c>
      <c r="P22">
        <f>_xlfn.XLOOKUP(Table123160185[[#This Row],[ACA Number]],Table127163137496173[NAT Number],Table127163137496173[run 2 points])</f>
        <v>614.35</v>
      </c>
      <c r="Q22">
        <f>_xlfn.XLOOKUP(Table123160185[[#This Row],[ACA Number]],Table127163137496173109[NAT Number],Table127163137496173109[run 1 points])</f>
        <v>865.78</v>
      </c>
      <c r="R22">
        <f>_xlfn.XLOOKUP(Table123160185[[#This Row],[ACA Number]],Table127163137496173109[NAT Number],Table127163137496173109[run 2 points])</f>
        <v>702.45</v>
      </c>
      <c r="S22" t="e">
        <f>_xlfn.XLOOKUP(Table123160185[[#This Row],[ACA Number]],Table127163137496173109115[NAT Number],Table127163137496173109115[run 1 points])</f>
        <v>#N/A</v>
      </c>
      <c r="T22" t="e">
        <f>_xlfn.XLOOKUP(Table123160185[[#This Row],[ACA Number]],Table127163137496173109115[NAT Number],Table127163137496173109115[run 2 points])</f>
        <v>#N/A</v>
      </c>
      <c r="U22" cm="1">
        <f t="array" ref="U22">_xlfn.LET(_xlpm.r,Table123160185[[#This Row],[CM GS1 R1]:[MF GS R2]],_xlpm.m,_xlfn.AGGREGATE(15,6,_xlpm.r/(_xlpm.r&lt;&gt;999.99),1),IFERROR(_xlpm.m,999.99))</f>
        <v>614.35</v>
      </c>
      <c r="W22">
        <v>124079</v>
      </c>
      <c r="X22" t="s">
        <v>789</v>
      </c>
      <c r="Y22" t="s">
        <v>770</v>
      </c>
      <c r="Z22">
        <f>_xlfn.XLOOKUP(Table124161186[[#This Row],[ACA Number]],Table127[NAT Number],Table127[TT race points])</f>
        <v>621.41999999999996</v>
      </c>
      <c r="AA22">
        <f>_xlfn.XLOOKUP(Table124161186[[#This Row],[ACA Number]],Table12716[NAT Number],Table12716[TT race points])</f>
        <v>640.09</v>
      </c>
      <c r="AB22" t="e">
        <f>_xlfn.XLOOKUP(Table124161186[[#This Row],[ACA Number]],Table12716313749617385[NAT Number],Table12716313749617385[TT race points])</f>
        <v>#N/A</v>
      </c>
      <c r="AC22" cm="1">
        <f t="array" ref="AC22">_xlfn.LET(_xlpm.r,Table124161186[[#This Row],[PM SL1]:[MF SL]],_xlpm.m,_xlfn.AGGREGATE(15,6,_xlpm.r/(_xlpm.r&lt;&gt;999.99),1),IFERROR(_xlpm.m,999.99))</f>
        <v>621.41999999999996</v>
      </c>
      <c r="AD22" cm="1">
        <f t="array" ref="AD22">_xlfn.LET(_xlpm.r,Table124161186[[#This Row],[PM SL1]:[MF SL]],_xlpm.m,_xlfn.AGGREGATE(15,6,_xlpm.r/(_xlpm.r&lt;&gt;999.99),2),IFERROR(_xlpm.m,999.99))</f>
        <v>640.09</v>
      </c>
      <c r="AF22">
        <v>124079</v>
      </c>
      <c r="AG22" t="s">
        <v>789</v>
      </c>
      <c r="AH22" t="s">
        <v>770</v>
      </c>
      <c r="AI22">
        <f>_xlfn.XLOOKUP(Table125162187[[#This Row],[ACA Number]],Table127163137496173[NAT Number],Table127163137496173[TT race points])</f>
        <v>700.35</v>
      </c>
      <c r="AJ22">
        <f>_xlfn.XLOOKUP(Table125162187[[#This Row],[ACA Number]],Table127163137496173109[NAT Number],Table127163137496173109[TT race points])</f>
        <v>780.35</v>
      </c>
      <c r="AK22" t="e">
        <f>_xlfn.XLOOKUP(Table125162187[[#This Row],[ACA Number]],Table127163137496173109115[NAT Number],Table127163137496173109115[TT race points])</f>
        <v>#N/A</v>
      </c>
      <c r="AL22" cm="1">
        <f t="array" ref="AL22">_xlfn.LET(_xlpm.r,Table125162187[[#This Row],[CM GS1]:[MF GS]],_xlpm.m,_xlfn.AGGREGATE(15,6,_xlpm.r/(_xlpm.r&lt;&gt;999.99),1),IFERROR(_xlpm.m,999.99))</f>
        <v>700.35</v>
      </c>
      <c r="AM22" cm="1">
        <f t="array" ref="AM22">_xlfn.LET(_xlpm.r,Table125162187[[#This Row],[CM GS1]:[MF GS]],_xlpm.m,_xlfn.AGGREGATE(15,6,_xlpm.r/(_xlpm.r&lt;&gt;999.99),2),IFERROR(_xlpm.m,999.99))</f>
        <v>780.35</v>
      </c>
      <c r="AO22">
        <v>123269</v>
      </c>
      <c r="AP22" t="s">
        <v>783</v>
      </c>
      <c r="AQ22" t="s">
        <v>770</v>
      </c>
      <c r="AR22">
        <f>_xlfn.XLOOKUP(Table126163188[[#This Row],[ACA Number]],Table121158183[ACA Number],Table121158183[Best 1 run SL race])</f>
        <v>999.99</v>
      </c>
      <c r="AS22">
        <f>_xlfn.XLOOKUP(Table126163188[[#This Row],[ACA Number]],Table123160185[ACA Number],Table123160185[Best 1 Run])</f>
        <v>999.99</v>
      </c>
      <c r="AT22">
        <f>_xlfn.XLOOKUP(Table126163188[[#This Row],[ACA Number]],Table124161186[ACA Number],Table124161186[Best result],)</f>
        <v>999.99</v>
      </c>
      <c r="AU22">
        <f>_xlfn.XLOOKUP(Table126163188[[#This Row],[ACA Number]],Table124161186[ACA Number],Table124161186[2nd Best Result])</f>
        <v>999.99</v>
      </c>
      <c r="AV22">
        <f>_xlfn.XLOOKUP(Table126163188[[#This Row],[ACA Number]],Table125162187[ACA Number],Table125162187[Best result])</f>
        <v>999.99</v>
      </c>
      <c r="AW22">
        <f>_xlfn.XLOOKUP(Table126163188[[#This Row],[ACA Number]],Table125162187[ACA Number],Table125162187[2nd Best Result])</f>
        <v>999.99</v>
      </c>
      <c r="AX22">
        <f t="shared" si="0"/>
        <v>5999.94</v>
      </c>
      <c r="AY22">
        <f>_xlfn.RANK.EQ(Table126163188[[#This Row],[Total Points]],Table126163188[Total Points],1)</f>
        <v>14</v>
      </c>
    </row>
  </sheetData>
  <mergeCells count="5">
    <mergeCell ref="AR1:AY1"/>
    <mergeCell ref="D1:J1"/>
    <mergeCell ref="O1:U1"/>
    <mergeCell ref="Z1:AD1"/>
    <mergeCell ref="AI1:AM1"/>
  </mergeCells>
  <pageMargins left="0.7" right="0.7" top="0.75" bottom="0.75" header="0.3" footer="0.3"/>
  <tableParts count="5">
    <tablePart r:id="rId1"/>
    <tablePart r:id="rId2"/>
    <tablePart r:id="rId3"/>
    <tablePart r:id="rId4"/>
    <tablePart r:id="rId5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10F738-DD66-433E-9A99-5F50069D65A2}">
  <dimension ref="A1:BG23"/>
  <sheetViews>
    <sheetView topLeftCell="AR1" workbookViewId="0">
      <selection activeCell="AW3" sqref="AW3:AW23"/>
    </sheetView>
  </sheetViews>
  <sheetFormatPr defaultRowHeight="14.4" x14ac:dyDescent="0.3"/>
  <cols>
    <col min="1" max="1" width="13.44140625" customWidth="1"/>
    <col min="3" max="3" width="10.21875" customWidth="1"/>
    <col min="4" max="7" width="10.44140625" customWidth="1"/>
    <col min="8" max="8" width="13.33203125" bestFit="1" customWidth="1"/>
    <col min="9" max="9" width="10.33203125" customWidth="1"/>
    <col min="10" max="10" width="17.21875" customWidth="1"/>
    <col min="12" max="12" width="13.21875" customWidth="1"/>
    <col min="14" max="14" width="10" customWidth="1"/>
    <col min="15" max="16" width="10.5546875" customWidth="1"/>
    <col min="17" max="17" width="17.88671875" customWidth="1"/>
    <col min="19" max="19" width="13.21875" customWidth="1"/>
    <col min="21" max="21" width="10" customWidth="1"/>
    <col min="22" max="25" width="10.5546875" customWidth="1"/>
    <col min="26" max="27" width="10.33203125" customWidth="1"/>
    <col min="28" max="28" width="11.21875" customWidth="1"/>
    <col min="30" max="30" width="13.21875" customWidth="1"/>
    <col min="32" max="32" width="10" customWidth="1"/>
    <col min="33" max="33" width="11.33203125" bestFit="1" customWidth="1"/>
    <col min="36" max="36" width="11.33203125" customWidth="1"/>
    <col min="37" max="37" width="15.109375" customWidth="1"/>
    <col min="39" max="39" width="13.21875" customWidth="1"/>
    <col min="41" max="41" width="10" customWidth="1"/>
    <col min="44" max="44" width="15" bestFit="1" customWidth="1"/>
    <col min="45" max="45" width="11.33203125" customWidth="1"/>
    <col min="46" max="46" width="15.109375" customWidth="1"/>
    <col min="48" max="48" width="13.21875" customWidth="1"/>
    <col min="49" max="49" width="15.6640625" bestFit="1" customWidth="1"/>
    <col min="50" max="50" width="10" customWidth="1"/>
    <col min="51" max="51" width="9.109375" customWidth="1"/>
    <col min="52" max="52" width="10" customWidth="1"/>
    <col min="53" max="53" width="9.21875" customWidth="1"/>
    <col min="54" max="54" width="12.6640625" customWidth="1"/>
    <col min="55" max="55" width="16" customWidth="1"/>
    <col min="56" max="56" width="13.109375" customWidth="1"/>
    <col min="57" max="57" width="16.44140625" customWidth="1"/>
    <col min="58" max="58" width="10.109375" customWidth="1"/>
    <col min="59" max="59" width="12.109375" customWidth="1"/>
  </cols>
  <sheetData>
    <row r="1" spans="1:59" ht="21" x14ac:dyDescent="0.4">
      <c r="A1" s="4"/>
      <c r="B1" s="4"/>
      <c r="C1" s="4"/>
      <c r="D1" s="7" t="s">
        <v>450</v>
      </c>
      <c r="E1" s="7"/>
      <c r="F1" s="7"/>
      <c r="G1" s="7"/>
      <c r="H1" s="7"/>
      <c r="I1" s="7"/>
      <c r="J1" s="7"/>
      <c r="K1" s="4"/>
      <c r="L1" s="4"/>
      <c r="M1" s="4"/>
      <c r="N1" s="4"/>
      <c r="O1" s="7" t="s">
        <v>452</v>
      </c>
      <c r="P1" s="7"/>
      <c r="Q1" s="7"/>
      <c r="R1" s="4"/>
      <c r="S1" s="4"/>
      <c r="T1" s="4"/>
      <c r="U1" s="4"/>
      <c r="V1" s="7" t="s">
        <v>451</v>
      </c>
      <c r="W1" s="7"/>
      <c r="X1" s="7"/>
      <c r="Y1" s="7"/>
      <c r="Z1" s="7"/>
      <c r="AA1" s="7"/>
      <c r="AB1" s="7"/>
      <c r="AC1" s="4"/>
      <c r="AD1" s="4"/>
      <c r="AE1" s="4"/>
      <c r="AF1" s="4"/>
      <c r="AG1" s="7" t="s">
        <v>453</v>
      </c>
      <c r="AH1" s="7"/>
      <c r="AI1" s="7"/>
      <c r="AJ1" s="7"/>
      <c r="AK1" s="7"/>
      <c r="AL1" s="4"/>
      <c r="AM1" s="4"/>
      <c r="AN1" s="4"/>
      <c r="AO1" s="4"/>
      <c r="AP1" s="7" t="s">
        <v>458</v>
      </c>
      <c r="AQ1" s="7"/>
      <c r="AR1" s="7"/>
      <c r="AS1" s="7"/>
      <c r="AT1" s="7"/>
      <c r="AU1" s="4"/>
      <c r="AV1" s="4"/>
      <c r="AW1" s="4"/>
      <c r="AX1" s="4"/>
      <c r="AY1" s="7" t="s">
        <v>603</v>
      </c>
      <c r="AZ1" s="7"/>
      <c r="BA1" s="7"/>
      <c r="BB1" s="7"/>
      <c r="BC1" s="7"/>
      <c r="BD1" s="7"/>
      <c r="BE1" s="7"/>
      <c r="BF1" s="7"/>
      <c r="BG1" s="7"/>
    </row>
    <row r="2" spans="1:59" x14ac:dyDescent="0.3">
      <c r="A2" t="s">
        <v>367</v>
      </c>
      <c r="B2" t="s">
        <v>368</v>
      </c>
      <c r="C2" t="s">
        <v>354</v>
      </c>
      <c r="D2" t="s">
        <v>604</v>
      </c>
      <c r="E2" t="s">
        <v>605</v>
      </c>
      <c r="F2" t="s">
        <v>606</v>
      </c>
      <c r="G2" t="s">
        <v>607</v>
      </c>
      <c r="H2" t="s">
        <v>608</v>
      </c>
      <c r="I2" t="s">
        <v>609</v>
      </c>
      <c r="J2" t="s">
        <v>456</v>
      </c>
      <c r="L2" t="s">
        <v>367</v>
      </c>
      <c r="M2" t="s">
        <v>368</v>
      </c>
      <c r="N2" t="s">
        <v>354</v>
      </c>
      <c r="O2" t="s">
        <v>610</v>
      </c>
      <c r="P2" t="s">
        <v>611</v>
      </c>
      <c r="Q2" t="s">
        <v>457</v>
      </c>
      <c r="S2" t="s">
        <v>367</v>
      </c>
      <c r="T2" t="s">
        <v>368</v>
      </c>
      <c r="U2" t="s">
        <v>354</v>
      </c>
      <c r="V2" t="s">
        <v>612</v>
      </c>
      <c r="W2" t="s">
        <v>613</v>
      </c>
      <c r="X2" t="s">
        <v>614</v>
      </c>
      <c r="Y2" t="s">
        <v>615</v>
      </c>
      <c r="Z2" t="s">
        <v>616</v>
      </c>
      <c r="AA2" t="s">
        <v>617</v>
      </c>
      <c r="AB2" t="s">
        <v>369</v>
      </c>
      <c r="AD2" t="s">
        <v>367</v>
      </c>
      <c r="AE2" t="s">
        <v>368</v>
      </c>
      <c r="AF2" t="s">
        <v>354</v>
      </c>
      <c r="AG2" t="s">
        <v>618</v>
      </c>
      <c r="AH2" t="s">
        <v>619</v>
      </c>
      <c r="AI2" t="s">
        <v>620</v>
      </c>
      <c r="AJ2" t="s">
        <v>454</v>
      </c>
      <c r="AK2" t="s">
        <v>455</v>
      </c>
      <c r="AM2" t="s">
        <v>367</v>
      </c>
      <c r="AN2" t="s">
        <v>368</v>
      </c>
      <c r="AO2" t="s">
        <v>354</v>
      </c>
      <c r="AP2" t="s">
        <v>621</v>
      </c>
      <c r="AQ2" t="s">
        <v>622</v>
      </c>
      <c r="AR2" t="s">
        <v>623</v>
      </c>
      <c r="AS2" t="s">
        <v>454</v>
      </c>
      <c r="AT2" t="s">
        <v>455</v>
      </c>
      <c r="AV2" t="s">
        <v>367</v>
      </c>
      <c r="AW2" t="s">
        <v>368</v>
      </c>
      <c r="AX2" t="s">
        <v>354</v>
      </c>
      <c r="AY2" t="s">
        <v>587</v>
      </c>
      <c r="AZ2" t="s">
        <v>581</v>
      </c>
      <c r="BA2" t="s">
        <v>582</v>
      </c>
      <c r="BB2" t="s">
        <v>583</v>
      </c>
      <c r="BC2" t="s">
        <v>584</v>
      </c>
      <c r="BD2" t="s">
        <v>585</v>
      </c>
      <c r="BE2" t="s">
        <v>586</v>
      </c>
      <c r="BF2" t="s">
        <v>588</v>
      </c>
      <c r="BG2" t="s">
        <v>624</v>
      </c>
    </row>
    <row r="3" spans="1:59" x14ac:dyDescent="0.3">
      <c r="A3">
        <v>93755</v>
      </c>
      <c r="B3" t="s">
        <v>628</v>
      </c>
      <c r="C3" t="s">
        <v>626</v>
      </c>
      <c r="D3">
        <f>_xlfn.XLOOKUP(Table121[[#This Row],[ACA Number]],Table12[NAT Number],Table12[run 1 points])</f>
        <v>0</v>
      </c>
      <c r="E3">
        <f>_xlfn.XLOOKUP(Table121[[#This Row],[ACA Number]],Table12[NAT Number],Table12[run 2 points])</f>
        <v>15.25</v>
      </c>
      <c r="F3">
        <f>_xlfn.XLOOKUP(Table121[[#This Row],[ACA Number]],Table1225[NAT Number],Table1225[run 1 points])</f>
        <v>0</v>
      </c>
      <c r="G3">
        <f>_xlfn.XLOOKUP(Table121[[#This Row],[ACA Number]],Table1225[NAT Number],Table1225[run 2 points])</f>
        <v>0</v>
      </c>
      <c r="H3">
        <f>_xlfn.XLOOKUP(Table121[[#This Row],[ACA Number]],Table127163143556779[NAT Number],Table127163143556779[run 1 points])</f>
        <v>1.42</v>
      </c>
      <c r="I3">
        <f>_xlfn.XLOOKUP(Table121[[#This Row],[ACA Number]],Table127163143556779[NAT Number],Table127163143556779[run 2 points])</f>
        <v>4.68</v>
      </c>
      <c r="J3" cm="1">
        <f t="array" ref="J3">_xlfn.LET(_xlpm.r,Table121[[#This Row],[PM SL1 R1]:[MF SL1 R2]],_xlpm.m,_xlfn.AGGREGATE(15,6,_xlpm.r/(_xlpm.r&lt;&gt;999.99),1),IFERROR(_xlpm.m,999.99))</f>
        <v>0</v>
      </c>
      <c r="L3">
        <v>93740</v>
      </c>
      <c r="M3" t="s">
        <v>625</v>
      </c>
      <c r="N3" t="s">
        <v>626</v>
      </c>
      <c r="O3">
        <f>_xlfn.XLOOKUP(Table122[[#This Row],[ACA Number]],Table1271631[NAT Number],Table1271631[run 1 points])</f>
        <v>197.91</v>
      </c>
      <c r="P3">
        <f>_xlfn.XLOOKUP(Table122[[#This Row],[ACA Number]],Table1221101934[NAT Number],Table1221101934[run 1 points])</f>
        <v>179.37</v>
      </c>
      <c r="Q3" cm="1">
        <f t="array" ref="Q3">_xlfn.LET(_xlpm.r,Table122[[#This Row],[CM SG R1]:[CM SG R2]],_xlpm.m,_xlfn.AGGREGATE(15,6,_xlpm.r/(_xlpm.r&lt;&gt;999.99),1),IFERROR(_xlpm.m,999.99))</f>
        <v>179.37</v>
      </c>
      <c r="S3">
        <v>93740</v>
      </c>
      <c r="T3" t="s">
        <v>625</v>
      </c>
      <c r="U3" t="s">
        <v>626</v>
      </c>
      <c r="V3">
        <f>_xlfn.XLOOKUP(Table123[[#This Row],[ACA Number]],Table127163143556797103[NAT Number],Table127163143556797103[run 1 points])</f>
        <v>999.99</v>
      </c>
      <c r="W3">
        <f>_xlfn.XLOOKUP(Table123[[#This Row],[ACA Number]],Table127163143556797103[NAT Number],Table127163143556797103[run 2 points])</f>
        <v>0</v>
      </c>
      <c r="X3">
        <f>_xlfn.XLOOKUP(Table123[[#This Row],[ACA Number]],Table127163143556797[NAT Number],Table127163143556797[run 1 points])</f>
        <v>152.4</v>
      </c>
      <c r="Y3">
        <f>_xlfn.XLOOKUP(Table123[[#This Row],[ACA Number]],Table127163143556797[NAT Number],Table127163143556797[run 2 points])</f>
        <v>97.81</v>
      </c>
      <c r="Z3">
        <f>_xlfn.XLOOKUP(Table123[[#This Row],[ACA Number]],Table1271631435567[NAT Number],Table1271631435567[run 1 points])</f>
        <v>0</v>
      </c>
      <c r="AA3">
        <f>_xlfn.XLOOKUP(Table123[[#This Row],[ACA Number]],Table1271631435567[NAT Number],Table1271631435567[run 2 points])</f>
        <v>0</v>
      </c>
      <c r="AB3" cm="1">
        <f t="array" ref="AB3">_xlfn.LET(_xlpm.r,Table123[[#This Row],[CM GS1 R1]:[MF GS R2]],_xlpm.m,_xlfn.AGGREGATE(15,6,_xlpm.r/(_xlpm.r&lt;&gt;999.99),1),IFERROR(_xlpm.m,999.99))</f>
        <v>0</v>
      </c>
      <c r="AD3">
        <v>93740</v>
      </c>
      <c r="AE3" t="s">
        <v>625</v>
      </c>
      <c r="AF3" t="s">
        <v>626</v>
      </c>
      <c r="AG3">
        <f>_xlfn.XLOOKUP(Table124[[#This Row],[ACA Number]],Table12[NAT Number],Table12[TT race points])</f>
        <v>24.59</v>
      </c>
      <c r="AH3">
        <f>_xlfn.XLOOKUP(Table124[[#This Row],[ACA Number]],Table1225[NAT Number],Table1225[TT race points])</f>
        <v>75.06</v>
      </c>
      <c r="AI3">
        <f>_xlfn.XLOOKUP(Table124[[#This Row],[ACA Number]],Table127163143556779[NAT Number],Table127163143556779[TT race points])</f>
        <v>0.52</v>
      </c>
      <c r="AJ3" cm="1">
        <f t="array" ref="AJ3">_xlfn.LET(_xlpm.r,Table124[[#This Row],[PM SL1]:[MF SL]],_xlpm.m,_xlfn.AGGREGATE(15,6,_xlpm.r/(_xlpm.r&lt;&gt;999.99),1),IFERROR(_xlpm.m,999.99))</f>
        <v>0.52</v>
      </c>
      <c r="AK3" cm="1">
        <f t="array" ref="AK3">_xlfn.LET(_xlpm.r,Table124[[#This Row],[PM SL1]:[MF SL]],_xlpm.m,_xlfn.AGGREGATE(15,6,_xlpm.r/(_xlpm.r&lt;&gt;999.99),2),IFERROR(_xlpm.m,999.99))</f>
        <v>24.59</v>
      </c>
      <c r="AM3">
        <v>93740</v>
      </c>
      <c r="AN3" t="s">
        <v>625</v>
      </c>
      <c r="AO3" t="s">
        <v>626</v>
      </c>
      <c r="AP3">
        <f>_xlfn.XLOOKUP(Table125[[#This Row],[ACA Number]],Table127163143556797103[NAT Number],Table127163143556797103[TT race points])</f>
        <v>999.99</v>
      </c>
      <c r="AQ3">
        <f>_xlfn.XLOOKUP(Table125[[#This Row],[ACA Number]],Table127163143556797[NAT Number],Table127163143556797[TT race points])</f>
        <v>123.76</v>
      </c>
      <c r="AR3">
        <f>_xlfn.XLOOKUP(Table125[[#This Row],[ACA Number]],Table1271631435567[NAT Number],Table1271631435567[TT race points])</f>
        <v>0</v>
      </c>
      <c r="AS3" cm="1">
        <f t="array" ref="AS3">_xlfn.LET(_xlpm.r,Table125[[#This Row],[CM GS1]:[MF GS]],_xlpm.m,_xlfn.AGGREGATE(15,6,_xlpm.r/(_xlpm.r&lt;&gt;999.99),1),IFERROR(_xlpm.m,999.99))</f>
        <v>0</v>
      </c>
      <c r="AT3" cm="1">
        <f t="array" ref="AT3">_xlfn.LET(_xlpm.r,Table125[[#This Row],[CM GS1]:[MF GS]],_xlpm.m,_xlfn.AGGREGATE(15,6,_xlpm.r/(_xlpm.r&lt;&gt;999.99),2),IFERROR(_xlpm.m,999.99))</f>
        <v>123.76</v>
      </c>
      <c r="AV3">
        <v>93762</v>
      </c>
      <c r="AW3" t="s">
        <v>631</v>
      </c>
      <c r="AX3" t="s">
        <v>626</v>
      </c>
      <c r="AY3">
        <f>_xlfn.XLOOKUP(Table126[[#This Row],[ACA Number]],Table121[ACA Number],Table121[Best 1 run SL race])</f>
        <v>0</v>
      </c>
      <c r="AZ3">
        <f>_xlfn.XLOOKUP(Table126[[#This Row],[ACA Number]],Table123[ACA Number],Table123[Best 1 Run])</f>
        <v>34.32</v>
      </c>
      <c r="BA3">
        <f>_xlfn.XLOOKUP(Table126[[#This Row],[ACA Number]],Table122[ACA Number],Table122[Best 1 run GS Race])</f>
        <v>138.07</v>
      </c>
      <c r="BB3">
        <f>_xlfn.XLOOKUP(Table126[[#This Row],[ACA Number]],Table124[ACA Number],Table124[Best result],)</f>
        <v>2.75</v>
      </c>
      <c r="BC3">
        <f>_xlfn.XLOOKUP(Table126[[#This Row],[ACA Number]],Table124[ACA Number],Table124[2nd Best Result])</f>
        <v>36.6</v>
      </c>
      <c r="BD3">
        <f>_xlfn.XLOOKUP(Table126[[#This Row],[ACA Number]],Table125[ACA Number],Table125[Best result])</f>
        <v>30.17</v>
      </c>
      <c r="BE3">
        <f>_xlfn.XLOOKUP(Table126[[#This Row],[ACA Number]],Table125[ACA Number],Table125[2nd Best Result])</f>
        <v>40.369999999999997</v>
      </c>
      <c r="BF3">
        <f t="shared" ref="BF3:BF23" si="0">SUM(AY3:BE3)</f>
        <v>282.27999999999997</v>
      </c>
      <c r="BG3">
        <f>_xlfn.RANK.EQ(Table126[[#This Row],[Total Points]],Table126[Total Points],1)</f>
        <v>1</v>
      </c>
    </row>
    <row r="4" spans="1:59" x14ac:dyDescent="0.3">
      <c r="A4">
        <v>93740</v>
      </c>
      <c r="B4" t="s">
        <v>625</v>
      </c>
      <c r="C4" t="s">
        <v>626</v>
      </c>
      <c r="D4">
        <f>_xlfn.XLOOKUP(Table121[[#This Row],[ACA Number]],Table12[NAT Number],Table12[run 1 points])</f>
        <v>19.010000000000002</v>
      </c>
      <c r="E4">
        <f>_xlfn.XLOOKUP(Table121[[#This Row],[ACA Number]],Table12[NAT Number],Table12[run 2 points])</f>
        <v>31.37</v>
      </c>
      <c r="F4">
        <f>_xlfn.XLOOKUP(Table121[[#This Row],[ACA Number]],Table1225[NAT Number],Table1225[run 1 points])</f>
        <v>110.35</v>
      </c>
      <c r="G4">
        <f>_xlfn.XLOOKUP(Table121[[#This Row],[ACA Number]],Table1225[NAT Number],Table1225[run 2 points])</f>
        <v>40.99</v>
      </c>
      <c r="H4">
        <f>_xlfn.XLOOKUP(Table121[[#This Row],[ACA Number]],Table127163143556779[NAT Number],Table127163143556779[run 1 points])</f>
        <v>0</v>
      </c>
      <c r="I4">
        <f>_xlfn.XLOOKUP(Table121[[#This Row],[ACA Number]],Table127163143556779[NAT Number],Table127163143556779[run 2 points])</f>
        <v>6.94</v>
      </c>
      <c r="J4" cm="1">
        <f t="array" ref="J4">_xlfn.LET(_xlpm.r,Table121[[#This Row],[PM SL1 R1]:[MF SL1 R2]],_xlpm.m,_xlfn.AGGREGATE(15,6,_xlpm.r/(_xlpm.r&lt;&gt;999.99),1),IFERROR(_xlpm.m,999.99))</f>
        <v>0</v>
      </c>
      <c r="L4">
        <v>102772</v>
      </c>
      <c r="M4" t="s">
        <v>627</v>
      </c>
      <c r="N4" t="s">
        <v>626</v>
      </c>
      <c r="O4" t="e">
        <f>_xlfn.XLOOKUP(Table122[[#This Row],[ACA Number]],Table1271631[NAT Number],Table1271631[run 1 points])</f>
        <v>#N/A</v>
      </c>
      <c r="P4" t="e">
        <f>_xlfn.XLOOKUP(Table122[[#This Row],[ACA Number]],Table1221101934[NAT Number],Table1221101934[run 1 points])</f>
        <v>#N/A</v>
      </c>
      <c r="Q4" cm="1">
        <f t="array" ref="Q4">_xlfn.LET(_xlpm.r,Table122[[#This Row],[CM SG R1]:[CM SG R2]],_xlpm.m,_xlfn.AGGREGATE(15,6,_xlpm.r/(_xlpm.r&lt;&gt;999.99),1),IFERROR(_xlpm.m,999.99))</f>
        <v>999.99</v>
      </c>
      <c r="S4">
        <v>102772</v>
      </c>
      <c r="T4" t="s">
        <v>627</v>
      </c>
      <c r="U4" t="s">
        <v>626</v>
      </c>
      <c r="V4" t="e">
        <f>_xlfn.XLOOKUP(Table123[[#This Row],[ACA Number]],Table127163143556797103[NAT Number],Table127163143556797103[run 1 points])</f>
        <v>#N/A</v>
      </c>
      <c r="W4" t="e">
        <f>_xlfn.XLOOKUP(Table123[[#This Row],[ACA Number]],Table127163143556797103[NAT Number],Table127163143556797103[run 2 points])</f>
        <v>#N/A</v>
      </c>
      <c r="X4" t="e">
        <f>_xlfn.XLOOKUP(Table123[[#This Row],[ACA Number]],Table127163143556797[NAT Number],Table127163143556797[run 1 points])</f>
        <v>#N/A</v>
      </c>
      <c r="Y4" t="e">
        <f>_xlfn.XLOOKUP(Table123[[#This Row],[ACA Number]],Table127163143556797[NAT Number],Table127163143556797[run 2 points])</f>
        <v>#N/A</v>
      </c>
      <c r="Z4" t="e">
        <f>_xlfn.XLOOKUP(Table123[[#This Row],[ACA Number]],Table1271631435567[NAT Number],Table1271631435567[run 1 points])</f>
        <v>#N/A</v>
      </c>
      <c r="AA4" t="e">
        <f>_xlfn.XLOOKUP(Table123[[#This Row],[ACA Number]],Table1271631435567[NAT Number],Table1271631435567[run 2 points])</f>
        <v>#N/A</v>
      </c>
      <c r="AB4" cm="1">
        <f t="array" ref="AB4">_xlfn.LET(_xlpm.r,Table123[[#This Row],[CM GS1 R1]:[MF GS R2]],_xlpm.m,_xlfn.AGGREGATE(15,6,_xlpm.r/(_xlpm.r&lt;&gt;999.99),1),IFERROR(_xlpm.m,999.99))</f>
        <v>999.99</v>
      </c>
      <c r="AD4">
        <v>102772</v>
      </c>
      <c r="AE4" t="s">
        <v>627</v>
      </c>
      <c r="AF4" t="s">
        <v>626</v>
      </c>
      <c r="AG4">
        <f>_xlfn.XLOOKUP(Table124[[#This Row],[ACA Number]],Table12[NAT Number],Table12[TT race points])</f>
        <v>999.99</v>
      </c>
      <c r="AH4">
        <f>_xlfn.XLOOKUP(Table124[[#This Row],[ACA Number]],Table1225[NAT Number],Table1225[TT race points])</f>
        <v>999.99</v>
      </c>
      <c r="AI4" t="e">
        <f>_xlfn.XLOOKUP(Table124[[#This Row],[ACA Number]],Table127163143556779[NAT Number],Table127163143556779[TT race points])</f>
        <v>#N/A</v>
      </c>
      <c r="AJ4" cm="1">
        <f t="array" ref="AJ4">_xlfn.LET(_xlpm.r,Table124[[#This Row],[PM SL1]:[MF SL]],_xlpm.m,_xlfn.AGGREGATE(15,6,_xlpm.r/(_xlpm.r&lt;&gt;999.99),1),IFERROR(_xlpm.m,999.99))</f>
        <v>999.99</v>
      </c>
      <c r="AK4" cm="1">
        <f t="array" ref="AK4">_xlfn.LET(_xlpm.r,Table124[[#This Row],[PM SL1]:[MF SL]],_xlpm.m,_xlfn.AGGREGATE(15,6,_xlpm.r/(_xlpm.r&lt;&gt;999.99),2),IFERROR(_xlpm.m,999.99))</f>
        <v>999.99</v>
      </c>
      <c r="AM4">
        <v>102772</v>
      </c>
      <c r="AN4" t="s">
        <v>627</v>
      </c>
      <c r="AO4" t="s">
        <v>626</v>
      </c>
      <c r="AP4" t="e">
        <f>_xlfn.XLOOKUP(Table125[[#This Row],[ACA Number]],Table127163143556797103[NAT Number],Table127163143556797103[TT race points])</f>
        <v>#N/A</v>
      </c>
      <c r="AQ4" t="e">
        <f>_xlfn.XLOOKUP(Table125[[#This Row],[ACA Number]],Table127163143556797[NAT Number],Table127163143556797[TT race points])</f>
        <v>#N/A</v>
      </c>
      <c r="AR4" t="e">
        <f>_xlfn.XLOOKUP(Table125[[#This Row],[ACA Number]],Table1271631435567[NAT Number],Table1271631435567[TT race points])</f>
        <v>#N/A</v>
      </c>
      <c r="AS4" cm="1">
        <f t="array" ref="AS4">_xlfn.LET(_xlpm.r,Table125[[#This Row],[CM GS1]:[MF GS]],_xlpm.m,_xlfn.AGGREGATE(15,6,_xlpm.r/(_xlpm.r&lt;&gt;999.99),1),IFERROR(_xlpm.m,999.99))</f>
        <v>999.99</v>
      </c>
      <c r="AT4" cm="1">
        <f t="array" ref="AT4">_xlfn.LET(_xlpm.r,Table125[[#This Row],[CM GS1]:[MF GS]],_xlpm.m,_xlfn.AGGREGATE(15,6,_xlpm.r/(_xlpm.r&lt;&gt;999.99),2),IFERROR(_xlpm.m,999.99))</f>
        <v>999.99</v>
      </c>
      <c r="AV4">
        <v>93740</v>
      </c>
      <c r="AW4" t="s">
        <v>625</v>
      </c>
      <c r="AX4" t="s">
        <v>626</v>
      </c>
      <c r="AY4">
        <f>_xlfn.XLOOKUP(Table126[[#This Row],[ACA Number]],Table121[ACA Number],Table121[Best 1 run SL race])</f>
        <v>0</v>
      </c>
      <c r="AZ4">
        <f>_xlfn.XLOOKUP(Table126[[#This Row],[ACA Number]],Table123[ACA Number],Table123[Best 1 Run])</f>
        <v>0</v>
      </c>
      <c r="BA4">
        <f>_xlfn.XLOOKUP(Table126[[#This Row],[ACA Number]],Table122[ACA Number],Table122[Best 1 run GS Race])</f>
        <v>179.37</v>
      </c>
      <c r="BB4">
        <f>_xlfn.XLOOKUP(Table126[[#This Row],[ACA Number]],Table124[ACA Number],Table124[Best result],)</f>
        <v>0.52</v>
      </c>
      <c r="BC4">
        <f>_xlfn.XLOOKUP(Table126[[#This Row],[ACA Number]],Table124[ACA Number],Table124[2nd Best Result])</f>
        <v>24.59</v>
      </c>
      <c r="BD4">
        <f>_xlfn.XLOOKUP(Table126[[#This Row],[ACA Number]],Table125[ACA Number],Table125[Best result])</f>
        <v>0</v>
      </c>
      <c r="BE4">
        <f>_xlfn.XLOOKUP(Table126[[#This Row],[ACA Number]],Table125[ACA Number],Table125[2nd Best Result])</f>
        <v>123.76</v>
      </c>
      <c r="BF4">
        <f t="shared" si="0"/>
        <v>328.24</v>
      </c>
      <c r="BG4">
        <f>_xlfn.RANK.EQ(Table126[[#This Row],[Total Points]],Table126[Total Points],1)</f>
        <v>2</v>
      </c>
    </row>
    <row r="5" spans="1:59" x14ac:dyDescent="0.3">
      <c r="A5">
        <v>102776</v>
      </c>
      <c r="B5" t="s">
        <v>629</v>
      </c>
      <c r="C5" t="s">
        <v>626</v>
      </c>
      <c r="D5">
        <f>_xlfn.XLOOKUP(Table121[[#This Row],[ACA Number]],Table12[NAT Number],Table12[run 1 points])</f>
        <v>22.54</v>
      </c>
      <c r="E5">
        <f>_xlfn.XLOOKUP(Table121[[#This Row],[ACA Number]],Table12[NAT Number],Table12[run 2 points])</f>
        <v>999.99</v>
      </c>
      <c r="F5">
        <f>_xlfn.XLOOKUP(Table121[[#This Row],[ACA Number]],Table1225[NAT Number],Table1225[run 1 points])</f>
        <v>999.99</v>
      </c>
      <c r="G5">
        <f>_xlfn.XLOOKUP(Table121[[#This Row],[ACA Number]],Table1225[NAT Number],Table1225[run 2 points])</f>
        <v>105.65</v>
      </c>
      <c r="H5">
        <f>_xlfn.XLOOKUP(Table121[[#This Row],[ACA Number]],Table127163143556779[NAT Number],Table127163143556779[run 1 points])</f>
        <v>27.68</v>
      </c>
      <c r="I5">
        <f>_xlfn.XLOOKUP(Table121[[#This Row],[ACA Number]],Table127163143556779[NAT Number],Table127163143556779[run 2 points])</f>
        <v>38.83</v>
      </c>
      <c r="J5" cm="1">
        <f t="array" ref="J5">_xlfn.LET(_xlpm.r,Table121[[#This Row],[PM SL1 R1]:[MF SL1 R2]],_xlpm.m,_xlfn.AGGREGATE(15,6,_xlpm.r/(_xlpm.r&lt;&gt;999.99),1),IFERROR(_xlpm.m,999.99))</f>
        <v>22.54</v>
      </c>
      <c r="L5">
        <v>93755</v>
      </c>
      <c r="M5" t="s">
        <v>628</v>
      </c>
      <c r="N5" t="s">
        <v>626</v>
      </c>
      <c r="O5">
        <f>_xlfn.XLOOKUP(Table122[[#This Row],[ACA Number]],Table1271631[NAT Number],Table1271631[run 1 points])</f>
        <v>999.99</v>
      </c>
      <c r="P5">
        <f>_xlfn.XLOOKUP(Table122[[#This Row],[ACA Number]],Table1221101934[NAT Number],Table1221101934[run 1 points])</f>
        <v>119.58</v>
      </c>
      <c r="Q5" cm="1">
        <f t="array" ref="Q5">_xlfn.LET(_xlpm.r,Table122[[#This Row],[CM SG R1]:[CM SG R2]],_xlpm.m,_xlfn.AGGREGATE(15,6,_xlpm.r/(_xlpm.r&lt;&gt;999.99),1),IFERROR(_xlpm.m,999.99))</f>
        <v>119.58</v>
      </c>
      <c r="S5">
        <v>93755</v>
      </c>
      <c r="T5" t="s">
        <v>628</v>
      </c>
      <c r="U5" t="s">
        <v>626</v>
      </c>
      <c r="V5">
        <f>_xlfn.XLOOKUP(Table123[[#This Row],[ACA Number]],Table127163143556797103[NAT Number],Table127163143556797103[run 1 points])</f>
        <v>15.02</v>
      </c>
      <c r="W5">
        <f>_xlfn.XLOOKUP(Table123[[#This Row],[ACA Number]],Table127163143556797103[NAT Number],Table127163143556797103[run 2 points])</f>
        <v>999.99</v>
      </c>
      <c r="X5">
        <f>_xlfn.XLOOKUP(Table123[[#This Row],[ACA Number]],Table127163143556797[NAT Number],Table127163143556797[run 1 points])</f>
        <v>158.88999999999999</v>
      </c>
      <c r="Y5">
        <f>_xlfn.XLOOKUP(Table123[[#This Row],[ACA Number]],Table127163143556797[NAT Number],Table127163143556797[run 2 points])</f>
        <v>154.58000000000001</v>
      </c>
      <c r="Z5">
        <f>_xlfn.XLOOKUP(Table123[[#This Row],[ACA Number]],Table1271631435567[NAT Number],Table1271631435567[run 1 points])</f>
        <v>47.72</v>
      </c>
      <c r="AA5">
        <f>_xlfn.XLOOKUP(Table123[[#This Row],[ACA Number]],Table1271631435567[NAT Number],Table1271631435567[run 2 points])</f>
        <v>32.9</v>
      </c>
      <c r="AB5" cm="1">
        <f t="array" ref="AB5">_xlfn.LET(_xlpm.r,Table123[[#This Row],[CM GS1 R1]:[MF GS R2]],_xlpm.m,_xlfn.AGGREGATE(15,6,_xlpm.r/(_xlpm.r&lt;&gt;999.99),1),IFERROR(_xlpm.m,999.99))</f>
        <v>15.02</v>
      </c>
      <c r="AD5">
        <v>93755</v>
      </c>
      <c r="AE5" t="s">
        <v>628</v>
      </c>
      <c r="AF5" t="s">
        <v>626</v>
      </c>
      <c r="AG5">
        <f>_xlfn.XLOOKUP(Table124[[#This Row],[ACA Number]],Table12[NAT Number],Table12[TT race points])</f>
        <v>7.08</v>
      </c>
      <c r="AH5">
        <f>_xlfn.XLOOKUP(Table124[[#This Row],[ACA Number]],Table1225[NAT Number],Table1225[TT race points])</f>
        <v>0</v>
      </c>
      <c r="AI5">
        <f>_xlfn.XLOOKUP(Table124[[#This Row],[ACA Number]],Table127163143556779[NAT Number],Table127163143556779[TT race points])</f>
        <v>0</v>
      </c>
      <c r="AJ5" cm="1">
        <f t="array" ref="AJ5">_xlfn.LET(_xlpm.r,Table124[[#This Row],[PM SL1]:[MF SL]],_xlpm.m,_xlfn.AGGREGATE(15,6,_xlpm.r/(_xlpm.r&lt;&gt;999.99),1),IFERROR(_xlpm.m,999.99))</f>
        <v>0</v>
      </c>
      <c r="AK5" cm="1">
        <f t="array" ref="AK5">_xlfn.LET(_xlpm.r,Table124[[#This Row],[PM SL1]:[MF SL]],_xlpm.m,_xlfn.AGGREGATE(15,6,_xlpm.r/(_xlpm.r&lt;&gt;999.99),2),IFERROR(_xlpm.m,999.99))</f>
        <v>0</v>
      </c>
      <c r="AM5">
        <v>93755</v>
      </c>
      <c r="AN5" t="s">
        <v>628</v>
      </c>
      <c r="AO5" t="s">
        <v>626</v>
      </c>
      <c r="AP5">
        <f>_xlfn.XLOOKUP(Table125[[#This Row],[ACA Number]],Table127163143556797103[NAT Number],Table127163143556797103[TT race points])</f>
        <v>999.99</v>
      </c>
      <c r="AQ5">
        <f>_xlfn.XLOOKUP(Table125[[#This Row],[ACA Number]],Table127163143556797[NAT Number],Table127163143556797[TT race points])</f>
        <v>156.63</v>
      </c>
      <c r="AR5">
        <f>_xlfn.XLOOKUP(Table125[[#This Row],[ACA Number]],Table1271631435567[NAT Number],Table1271631435567[TT race points])</f>
        <v>40.270000000000003</v>
      </c>
      <c r="AS5" cm="1">
        <f t="array" ref="AS5">_xlfn.LET(_xlpm.r,Table125[[#This Row],[CM GS1]:[MF GS]],_xlpm.m,_xlfn.AGGREGATE(15,6,_xlpm.r/(_xlpm.r&lt;&gt;999.99),1),IFERROR(_xlpm.m,999.99))</f>
        <v>40.270000000000003</v>
      </c>
      <c r="AT5" cm="1">
        <f t="array" ref="AT5">_xlfn.LET(_xlpm.r,Table125[[#This Row],[CM GS1]:[MF GS]],_xlpm.m,_xlfn.AGGREGATE(15,6,_xlpm.r/(_xlpm.r&lt;&gt;999.99),2),IFERROR(_xlpm.m,999.99))</f>
        <v>156.63</v>
      </c>
      <c r="AV5">
        <v>93755</v>
      </c>
      <c r="AW5" t="s">
        <v>628</v>
      </c>
      <c r="AX5" t="s">
        <v>626</v>
      </c>
      <c r="AY5">
        <f>_xlfn.XLOOKUP(Table126[[#This Row],[ACA Number]],Table121[ACA Number],Table121[Best 1 run SL race])</f>
        <v>0</v>
      </c>
      <c r="AZ5">
        <f>_xlfn.XLOOKUP(Table126[[#This Row],[ACA Number]],Table123[ACA Number],Table123[Best 1 Run])</f>
        <v>15.02</v>
      </c>
      <c r="BA5">
        <f>_xlfn.XLOOKUP(Table126[[#This Row],[ACA Number]],Table122[ACA Number],Table122[Best 1 run GS Race])</f>
        <v>119.58</v>
      </c>
      <c r="BB5">
        <f>_xlfn.XLOOKUP(Table126[[#This Row],[ACA Number]],Table124[ACA Number],Table124[Best result],)</f>
        <v>0</v>
      </c>
      <c r="BC5">
        <f>_xlfn.XLOOKUP(Table126[[#This Row],[ACA Number]],Table124[ACA Number],Table124[2nd Best Result])</f>
        <v>0</v>
      </c>
      <c r="BD5">
        <f>_xlfn.XLOOKUP(Table126[[#This Row],[ACA Number]],Table125[ACA Number],Table125[Best result])</f>
        <v>40.270000000000003</v>
      </c>
      <c r="BE5">
        <f>_xlfn.XLOOKUP(Table126[[#This Row],[ACA Number]],Table125[ACA Number],Table125[2nd Best Result])</f>
        <v>156.63</v>
      </c>
      <c r="BF5">
        <f t="shared" si="0"/>
        <v>331.5</v>
      </c>
      <c r="BG5">
        <f>_xlfn.RANK.EQ(Table126[[#This Row],[Total Points]],Table126[Total Points],1)</f>
        <v>3</v>
      </c>
    </row>
    <row r="6" spans="1:59" x14ac:dyDescent="0.3">
      <c r="A6">
        <v>93762</v>
      </c>
      <c r="B6" t="s">
        <v>631</v>
      </c>
      <c r="C6" t="s">
        <v>626</v>
      </c>
      <c r="D6">
        <f>_xlfn.XLOOKUP(Table121[[#This Row],[ACA Number]],Table12[NAT Number],Table12[run 1 points])</f>
        <v>45.39</v>
      </c>
      <c r="E6">
        <f>_xlfn.XLOOKUP(Table121[[#This Row],[ACA Number]],Table12[NAT Number],Table12[run 2 points])</f>
        <v>92.81</v>
      </c>
      <c r="F6">
        <f>_xlfn.XLOOKUP(Table121[[#This Row],[ACA Number]],Table1225[NAT Number],Table1225[run 1 points])</f>
        <v>43.23</v>
      </c>
      <c r="G6">
        <f>_xlfn.XLOOKUP(Table121[[#This Row],[ACA Number]],Table1225[NAT Number],Table1225[run 2 points])</f>
        <v>30.21</v>
      </c>
      <c r="H6">
        <f>_xlfn.XLOOKUP(Table121[[#This Row],[ACA Number]],Table127163143556779[NAT Number],Table127163143556779[run 1 points])</f>
        <v>12.43</v>
      </c>
      <c r="I6">
        <f>_xlfn.XLOOKUP(Table121[[#This Row],[ACA Number]],Table127163143556779[NAT Number],Table127163143556779[run 2 points])</f>
        <v>0</v>
      </c>
      <c r="J6" cm="1">
        <f t="array" ref="J6">_xlfn.LET(_xlpm.r,Table121[[#This Row],[PM SL1 R1]:[MF SL1 R2]],_xlpm.m,_xlfn.AGGREGATE(15,6,_xlpm.r/(_xlpm.r&lt;&gt;999.99),1),IFERROR(_xlpm.m,999.99))</f>
        <v>0</v>
      </c>
      <c r="L6">
        <v>102776</v>
      </c>
      <c r="M6" t="s">
        <v>629</v>
      </c>
      <c r="N6" t="s">
        <v>626</v>
      </c>
      <c r="O6">
        <f>_xlfn.XLOOKUP(Table122[[#This Row],[ACA Number]],Table1271631[NAT Number],Table1271631[run 1 points])</f>
        <v>259.83999999999997</v>
      </c>
      <c r="P6">
        <f>_xlfn.XLOOKUP(Table122[[#This Row],[ACA Number]],Table1221101934[NAT Number],Table1221101934[run 1 points])</f>
        <v>999.99</v>
      </c>
      <c r="Q6" cm="1">
        <f t="array" ref="Q6">_xlfn.LET(_xlpm.r,Table122[[#This Row],[CM SG R1]:[CM SG R2]],_xlpm.m,_xlfn.AGGREGATE(15,6,_xlpm.r/(_xlpm.r&lt;&gt;999.99),1),IFERROR(_xlpm.m,999.99))</f>
        <v>259.83999999999997</v>
      </c>
      <c r="S6">
        <v>102776</v>
      </c>
      <c r="T6" t="s">
        <v>629</v>
      </c>
      <c r="U6" t="s">
        <v>626</v>
      </c>
      <c r="V6">
        <f>_xlfn.XLOOKUP(Table123[[#This Row],[ACA Number]],Table127163143556797103[NAT Number],Table127163143556797103[run 1 points])</f>
        <v>44.93</v>
      </c>
      <c r="W6">
        <f>_xlfn.XLOOKUP(Table123[[#This Row],[ACA Number]],Table127163143556797103[NAT Number],Table127163143556797103[run 2 points])</f>
        <v>109.88</v>
      </c>
      <c r="X6">
        <f>_xlfn.XLOOKUP(Table123[[#This Row],[ACA Number]],Table127163143556797[NAT Number],Table127163143556797[run 1 points])</f>
        <v>217</v>
      </c>
      <c r="Y6">
        <f>_xlfn.XLOOKUP(Table123[[#This Row],[ACA Number]],Table127163143556797[NAT Number],Table127163143556797[run 2 points])</f>
        <v>217.09</v>
      </c>
      <c r="Z6">
        <f>_xlfn.XLOOKUP(Table123[[#This Row],[ACA Number]],Table1271631435567[NAT Number],Table1271631435567[run 1 points])</f>
        <v>38.17</v>
      </c>
      <c r="AA6">
        <f>_xlfn.XLOOKUP(Table123[[#This Row],[ACA Number]],Table1271631435567[NAT Number],Table1271631435567[run 2 points])</f>
        <v>27.49</v>
      </c>
      <c r="AB6" cm="1">
        <f t="array" ref="AB6">_xlfn.LET(_xlpm.r,Table123[[#This Row],[CM GS1 R1]:[MF GS R2]],_xlpm.m,_xlfn.AGGREGATE(15,6,_xlpm.r/(_xlpm.r&lt;&gt;999.99),1),IFERROR(_xlpm.m,999.99))</f>
        <v>27.49</v>
      </c>
      <c r="AD6">
        <v>102776</v>
      </c>
      <c r="AE6" t="s">
        <v>629</v>
      </c>
      <c r="AF6" t="s">
        <v>626</v>
      </c>
      <c r="AG6">
        <f>_xlfn.XLOOKUP(Table124[[#This Row],[ACA Number]],Table12[NAT Number],Table12[TT race points])</f>
        <v>999.99</v>
      </c>
      <c r="AH6">
        <f>_xlfn.XLOOKUP(Table124[[#This Row],[ACA Number]],Table1225[NAT Number],Table1225[TT race points])</f>
        <v>999.99</v>
      </c>
      <c r="AI6">
        <f>_xlfn.XLOOKUP(Table124[[#This Row],[ACA Number]],Table127163143556779[NAT Number],Table127163143556779[TT race points])</f>
        <v>30.29</v>
      </c>
      <c r="AJ6" cm="1">
        <f t="array" ref="AJ6">_xlfn.LET(_xlpm.r,Table124[[#This Row],[PM SL1]:[MF SL]],_xlpm.m,_xlfn.AGGREGATE(15,6,_xlpm.r/(_xlpm.r&lt;&gt;999.99),1),IFERROR(_xlpm.m,999.99))</f>
        <v>30.29</v>
      </c>
      <c r="AK6" cm="1">
        <f t="array" ref="AK6">_xlfn.LET(_xlpm.r,Table124[[#This Row],[PM SL1]:[MF SL]],_xlpm.m,_xlfn.AGGREGATE(15,6,_xlpm.r/(_xlpm.r&lt;&gt;999.99),2),IFERROR(_xlpm.m,999.99))</f>
        <v>999.99</v>
      </c>
      <c r="AM6">
        <v>102776</v>
      </c>
      <c r="AN6" t="s">
        <v>629</v>
      </c>
      <c r="AO6" t="s">
        <v>626</v>
      </c>
      <c r="AP6">
        <f>_xlfn.XLOOKUP(Table125[[#This Row],[ACA Number]],Table127163143556797103[NAT Number],Table127163143556797103[TT race points])</f>
        <v>40.33</v>
      </c>
      <c r="AQ6">
        <f>_xlfn.XLOOKUP(Table125[[#This Row],[ACA Number]],Table127163143556797[NAT Number],Table127163143556797[TT race points])</f>
        <v>217.05</v>
      </c>
      <c r="AR6">
        <f>_xlfn.XLOOKUP(Table125[[#This Row],[ACA Number]],Table1271631435567[NAT Number],Table1271631435567[TT race points])</f>
        <v>32.799999999999997</v>
      </c>
      <c r="AS6" cm="1">
        <f t="array" ref="AS6">_xlfn.LET(_xlpm.r,Table125[[#This Row],[CM GS1]:[MF GS]],_xlpm.m,_xlfn.AGGREGATE(15,6,_xlpm.r/(_xlpm.r&lt;&gt;999.99),1),IFERROR(_xlpm.m,999.99))</f>
        <v>32.799999999999997</v>
      </c>
      <c r="AT6" cm="1">
        <f t="array" ref="AT6">_xlfn.LET(_xlpm.r,Table125[[#This Row],[CM GS1]:[MF GS]],_xlpm.m,_xlfn.AGGREGATE(15,6,_xlpm.r/(_xlpm.r&lt;&gt;999.99),2),IFERROR(_xlpm.m,999.99))</f>
        <v>40.33</v>
      </c>
      <c r="AV6">
        <v>102457</v>
      </c>
      <c r="AW6" t="s">
        <v>632</v>
      </c>
      <c r="AX6" t="s">
        <v>626</v>
      </c>
      <c r="AY6">
        <f>_xlfn.XLOOKUP(Table126[[#This Row],[ACA Number]],Table121[ACA Number],Table121[Best 1 run SL race])</f>
        <v>9.35</v>
      </c>
      <c r="AZ6">
        <f>_xlfn.XLOOKUP(Table126[[#This Row],[ACA Number]],Table123[ACA Number],Table123[Best 1 Run])</f>
        <v>32.76</v>
      </c>
      <c r="BA6">
        <f>_xlfn.XLOOKUP(Table126[[#This Row],[ACA Number]],Table122[ACA Number],Table122[Best 1 run GS Race])</f>
        <v>225.49</v>
      </c>
      <c r="BB6">
        <f>_xlfn.XLOOKUP(Table126[[#This Row],[ACA Number]],Table124[ACA Number],Table124[Best result],)</f>
        <v>18.71</v>
      </c>
      <c r="BC6">
        <f>_xlfn.XLOOKUP(Table126[[#This Row],[ACA Number]],Table124[ACA Number],Table124[2nd Best Result])</f>
        <v>60.7</v>
      </c>
      <c r="BD6">
        <f>_xlfn.XLOOKUP(Table126[[#This Row],[ACA Number]],Table125[ACA Number],Table125[Best result])</f>
        <v>17.05</v>
      </c>
      <c r="BE6">
        <f>_xlfn.XLOOKUP(Table126[[#This Row],[ACA Number]],Table125[ACA Number],Table125[2nd Best Result])</f>
        <v>39.56</v>
      </c>
      <c r="BF6">
        <f t="shared" si="0"/>
        <v>403.62</v>
      </c>
      <c r="BG6">
        <f>_xlfn.RANK.EQ(Table126[[#This Row],[Total Points]],Table126[Total Points],1)</f>
        <v>4</v>
      </c>
    </row>
    <row r="7" spans="1:59" x14ac:dyDescent="0.3">
      <c r="A7">
        <v>102457</v>
      </c>
      <c r="B7" t="s">
        <v>632</v>
      </c>
      <c r="C7" t="s">
        <v>626</v>
      </c>
      <c r="D7">
        <f>_xlfn.XLOOKUP(Table121[[#This Row],[ACA Number]],Table12[NAT Number],Table12[run 1 points])</f>
        <v>999.99</v>
      </c>
      <c r="E7">
        <f>_xlfn.XLOOKUP(Table121[[#This Row],[ACA Number]],Table12[NAT Number],Table12[run 2 points])</f>
        <v>60.86</v>
      </c>
      <c r="F7">
        <f>_xlfn.XLOOKUP(Table121[[#This Row],[ACA Number]],Table1225[NAT Number],Table1225[run 1 points])</f>
        <v>75.14</v>
      </c>
      <c r="G7">
        <f>_xlfn.XLOOKUP(Table121[[#This Row],[ACA Number]],Table1225[NAT Number],Table1225[run 2 points])</f>
        <v>46.75</v>
      </c>
      <c r="H7">
        <f>_xlfn.XLOOKUP(Table121[[#This Row],[ACA Number]],Table127163143556779[NAT Number],Table127163143556779[run 1 points])</f>
        <v>35.86</v>
      </c>
      <c r="I7">
        <f>_xlfn.XLOOKUP(Table121[[#This Row],[ACA Number]],Table127163143556779[NAT Number],Table127163143556779[run 2 points])</f>
        <v>9.35</v>
      </c>
      <c r="J7" cm="1">
        <f t="array" ref="J7">_xlfn.LET(_xlpm.r,Table121[[#This Row],[PM SL1 R1]:[MF SL1 R2]],_xlpm.m,_xlfn.AGGREGATE(15,6,_xlpm.r/(_xlpm.r&lt;&gt;999.99),1),IFERROR(_xlpm.m,999.99))</f>
        <v>9.35</v>
      </c>
      <c r="L7">
        <v>102777</v>
      </c>
      <c r="M7" t="s">
        <v>630</v>
      </c>
      <c r="N7" t="s">
        <v>626</v>
      </c>
      <c r="O7">
        <f>_xlfn.XLOOKUP(Table122[[#This Row],[ACA Number]],Table1271631[NAT Number],Table1271631[run 1 points])</f>
        <v>277.52999999999997</v>
      </c>
      <c r="P7">
        <f>_xlfn.XLOOKUP(Table122[[#This Row],[ACA Number]],Table1221101934[NAT Number],Table1221101934[run 1 points])</f>
        <v>999.99</v>
      </c>
      <c r="Q7" cm="1">
        <f t="array" ref="Q7">_xlfn.LET(_xlpm.r,Table122[[#This Row],[CM SG R1]:[CM SG R2]],_xlpm.m,_xlfn.AGGREGATE(15,6,_xlpm.r/(_xlpm.r&lt;&gt;999.99),1),IFERROR(_xlpm.m,999.99))</f>
        <v>277.52999999999997</v>
      </c>
      <c r="S7">
        <v>102777</v>
      </c>
      <c r="T7" t="s">
        <v>630</v>
      </c>
      <c r="U7" t="s">
        <v>626</v>
      </c>
      <c r="V7">
        <f>_xlfn.XLOOKUP(Table123[[#This Row],[ACA Number]],Table127163143556797103[NAT Number],Table127163143556797103[run 1 points])</f>
        <v>108.88</v>
      </c>
      <c r="W7">
        <f>_xlfn.XLOOKUP(Table123[[#This Row],[ACA Number]],Table127163143556797103[NAT Number],Table127163143556797103[run 2 points])</f>
        <v>151.87</v>
      </c>
      <c r="X7">
        <f>_xlfn.XLOOKUP(Table123[[#This Row],[ACA Number]],Table127163143556797[NAT Number],Table127163143556797[run 1 points])</f>
        <v>999.99</v>
      </c>
      <c r="Y7">
        <f>_xlfn.XLOOKUP(Table123[[#This Row],[ACA Number]],Table127163143556797[NAT Number],Table127163143556797[run 2 points])</f>
        <v>999.99</v>
      </c>
      <c r="Z7">
        <f>_xlfn.XLOOKUP(Table123[[#This Row],[ACA Number]],Table1271631435567[NAT Number],Table1271631435567[run 1 points])</f>
        <v>82.24</v>
      </c>
      <c r="AA7">
        <f>_xlfn.XLOOKUP(Table123[[#This Row],[ACA Number]],Table1271631435567[NAT Number],Table1271631435567[run 2 points])</f>
        <v>69.62</v>
      </c>
      <c r="AB7" cm="1">
        <f t="array" ref="AB7">_xlfn.LET(_xlpm.r,Table123[[#This Row],[CM GS1 R1]:[MF GS R2]],_xlpm.m,_xlfn.AGGREGATE(15,6,_xlpm.r/(_xlpm.r&lt;&gt;999.99),1),IFERROR(_xlpm.m,999.99))</f>
        <v>69.62</v>
      </c>
      <c r="AD7">
        <v>102777</v>
      </c>
      <c r="AE7" t="s">
        <v>630</v>
      </c>
      <c r="AF7" t="s">
        <v>626</v>
      </c>
      <c r="AG7">
        <f>_xlfn.XLOOKUP(Table124[[#This Row],[ACA Number]],Table12[NAT Number],Table12[TT race points])</f>
        <v>999.99</v>
      </c>
      <c r="AH7">
        <f>_xlfn.XLOOKUP(Table124[[#This Row],[ACA Number]],Table1225[NAT Number],Table1225[TT race points])</f>
        <v>152.52000000000001</v>
      </c>
      <c r="AI7">
        <f>_xlfn.XLOOKUP(Table124[[#This Row],[ACA Number]],Table127163143556779[NAT Number],Table127163143556779[TT race points])</f>
        <v>38.01</v>
      </c>
      <c r="AJ7" cm="1">
        <f t="array" ref="AJ7">_xlfn.LET(_xlpm.r,Table124[[#This Row],[PM SL1]:[MF SL]],_xlpm.m,_xlfn.AGGREGATE(15,6,_xlpm.r/(_xlpm.r&lt;&gt;999.99),1),IFERROR(_xlpm.m,999.99))</f>
        <v>38.01</v>
      </c>
      <c r="AK7" cm="1">
        <f t="array" ref="AK7">_xlfn.LET(_xlpm.r,Table124[[#This Row],[PM SL1]:[MF SL]],_xlpm.m,_xlfn.AGGREGATE(15,6,_xlpm.r/(_xlpm.r&lt;&gt;999.99),2),IFERROR(_xlpm.m,999.99))</f>
        <v>152.52000000000001</v>
      </c>
      <c r="AM7">
        <v>102777</v>
      </c>
      <c r="AN7" t="s">
        <v>630</v>
      </c>
      <c r="AO7" t="s">
        <v>626</v>
      </c>
      <c r="AP7">
        <f>_xlfn.XLOOKUP(Table125[[#This Row],[ACA Number]],Table127163143556797103[NAT Number],Table127163143556797103[TT race points])</f>
        <v>92.07</v>
      </c>
      <c r="AQ7">
        <f>_xlfn.XLOOKUP(Table125[[#This Row],[ACA Number]],Table127163143556797[NAT Number],Table127163143556797[TT race points])</f>
        <v>999.99</v>
      </c>
      <c r="AR7">
        <f>_xlfn.XLOOKUP(Table125[[#This Row],[ACA Number]],Table1271631435567[NAT Number],Table1271631435567[TT race points])</f>
        <v>75.89</v>
      </c>
      <c r="AS7" cm="1">
        <f t="array" ref="AS7">_xlfn.LET(_xlpm.r,Table125[[#This Row],[CM GS1]:[MF GS]],_xlpm.m,_xlfn.AGGREGATE(15,6,_xlpm.r/(_xlpm.r&lt;&gt;999.99),1),IFERROR(_xlpm.m,999.99))</f>
        <v>75.89</v>
      </c>
      <c r="AT7" cm="1">
        <f t="array" ref="AT7">_xlfn.LET(_xlpm.r,Table125[[#This Row],[CM GS1]:[MF GS]],_xlpm.m,_xlfn.AGGREGATE(15,6,_xlpm.r/(_xlpm.r&lt;&gt;999.99),2),IFERROR(_xlpm.m,999.99))</f>
        <v>92.07</v>
      </c>
      <c r="AV7">
        <v>102713</v>
      </c>
      <c r="AW7" t="s">
        <v>634</v>
      </c>
      <c r="AX7" t="s">
        <v>626</v>
      </c>
      <c r="AY7">
        <f>_xlfn.XLOOKUP(Table126[[#This Row],[ACA Number]],Table121[ACA Number],Table121[Best 1 run SL race])</f>
        <v>52.85</v>
      </c>
      <c r="AZ7">
        <f>_xlfn.XLOOKUP(Table126[[#This Row],[ACA Number]],Table123[ACA Number],Table123[Best 1 Run])</f>
        <v>24.47</v>
      </c>
      <c r="BA7">
        <f>_xlfn.XLOOKUP(Table126[[#This Row],[ACA Number]],Table122[ACA Number],Table122[Best 1 run GS Race])</f>
        <v>219.79</v>
      </c>
      <c r="BB7">
        <f>_xlfn.XLOOKUP(Table126[[#This Row],[ACA Number]],Table124[ACA Number],Table124[Best result],)</f>
        <v>72.28</v>
      </c>
      <c r="BC7">
        <f>_xlfn.XLOOKUP(Table126[[#This Row],[ACA Number]],Table124[ACA Number],Table124[2nd Best Result])</f>
        <v>73.84</v>
      </c>
      <c r="BD7">
        <f>_xlfn.XLOOKUP(Table126[[#This Row],[ACA Number]],Table125[ACA Number],Table125[Best result])</f>
        <v>13.84</v>
      </c>
      <c r="BE7">
        <f>_xlfn.XLOOKUP(Table126[[#This Row],[ACA Number]],Table125[ACA Number],Table125[2nd Best Result])</f>
        <v>48.24</v>
      </c>
      <c r="BF7">
        <f t="shared" si="0"/>
        <v>505.31</v>
      </c>
      <c r="BG7">
        <f>_xlfn.RANK.EQ(Table126[[#This Row],[Total Points]],Table126[Total Points],1)</f>
        <v>5</v>
      </c>
    </row>
    <row r="8" spans="1:59" x14ac:dyDescent="0.3">
      <c r="A8">
        <v>107311</v>
      </c>
      <c r="B8" t="s">
        <v>635</v>
      </c>
      <c r="C8" t="s">
        <v>626</v>
      </c>
      <c r="D8">
        <f>_xlfn.XLOOKUP(Table121[[#This Row],[ACA Number]],Table12[NAT Number],Table12[run 1 points])</f>
        <v>51.52</v>
      </c>
      <c r="E8">
        <f>_xlfn.XLOOKUP(Table121[[#This Row],[ACA Number]],Table12[NAT Number],Table12[run 2 points])</f>
        <v>53.16</v>
      </c>
      <c r="F8">
        <f>_xlfn.XLOOKUP(Table121[[#This Row],[ACA Number]],Table1225[NAT Number],Table1225[run 1 points])</f>
        <v>110.19</v>
      </c>
      <c r="G8">
        <f>_xlfn.XLOOKUP(Table121[[#This Row],[ACA Number]],Table1225[NAT Number],Table1225[run 2 points])</f>
        <v>112.79</v>
      </c>
      <c r="H8">
        <f>_xlfn.XLOOKUP(Table121[[#This Row],[ACA Number]],Table127163143556779[NAT Number],Table127163143556779[run 1 points])</f>
        <v>50.02</v>
      </c>
      <c r="I8">
        <f>_xlfn.XLOOKUP(Table121[[#This Row],[ACA Number]],Table127163143556779[NAT Number],Table127163143556779[run 2 points])</f>
        <v>61.22</v>
      </c>
      <c r="J8" cm="1">
        <f t="array" ref="J8">_xlfn.LET(_xlpm.r,Table121[[#This Row],[PM SL1 R1]:[MF SL1 R2]],_xlpm.m,_xlfn.AGGREGATE(15,6,_xlpm.r/(_xlpm.r&lt;&gt;999.99),1),IFERROR(_xlpm.m,999.99))</f>
        <v>50.02</v>
      </c>
      <c r="L8">
        <v>93762</v>
      </c>
      <c r="M8" t="s">
        <v>631</v>
      </c>
      <c r="N8" t="s">
        <v>626</v>
      </c>
      <c r="O8">
        <f>_xlfn.XLOOKUP(Table122[[#This Row],[ACA Number]],Table1271631[NAT Number],Table1271631[run 1 points])</f>
        <v>138.07</v>
      </c>
      <c r="P8">
        <f>_xlfn.XLOOKUP(Table122[[#This Row],[ACA Number]],Table1221101934[NAT Number],Table1221101934[run 1 points])</f>
        <v>162.44999999999999</v>
      </c>
      <c r="Q8" cm="1">
        <f t="array" ref="Q8">_xlfn.LET(_xlpm.r,Table122[[#This Row],[CM SG R1]:[CM SG R2]],_xlpm.m,_xlfn.AGGREGATE(15,6,_xlpm.r/(_xlpm.r&lt;&gt;999.99),1),IFERROR(_xlpm.m,999.99))</f>
        <v>138.07</v>
      </c>
      <c r="S8">
        <v>93762</v>
      </c>
      <c r="T8" t="s">
        <v>631</v>
      </c>
      <c r="U8" t="s">
        <v>626</v>
      </c>
      <c r="V8">
        <f>_xlfn.XLOOKUP(Table123[[#This Row],[ACA Number]],Table127163143556797103[NAT Number],Table127163143556797103[run 1 points])</f>
        <v>50.36</v>
      </c>
      <c r="W8">
        <f>_xlfn.XLOOKUP(Table123[[#This Row],[ACA Number]],Table127163143556797103[NAT Number],Table127163143556797103[run 2 points])</f>
        <v>81.84</v>
      </c>
      <c r="X8">
        <f>_xlfn.XLOOKUP(Table123[[#This Row],[ACA Number]],Table127163143556797[NAT Number],Table127163143556797[run 1 points])</f>
        <v>189.89</v>
      </c>
      <c r="Y8">
        <f>_xlfn.XLOOKUP(Table123[[#This Row],[ACA Number]],Table127163143556797[NAT Number],Table127163143556797[run 2 points])</f>
        <v>156.93</v>
      </c>
      <c r="Z8">
        <f>_xlfn.XLOOKUP(Table123[[#This Row],[ACA Number]],Table1271631435567[NAT Number],Table1271631435567[run 1 points])</f>
        <v>34.32</v>
      </c>
      <c r="AA8">
        <f>_xlfn.XLOOKUP(Table123[[#This Row],[ACA Number]],Table1271631435567[NAT Number],Table1271631435567[run 2 points])</f>
        <v>46.35</v>
      </c>
      <c r="AB8" cm="1">
        <f t="array" ref="AB8">_xlfn.LET(_xlpm.r,Table123[[#This Row],[CM GS1 R1]:[MF GS R2]],_xlpm.m,_xlfn.AGGREGATE(15,6,_xlpm.r/(_xlpm.r&lt;&gt;999.99),1),IFERROR(_xlpm.m,999.99))</f>
        <v>34.32</v>
      </c>
      <c r="AD8">
        <v>93762</v>
      </c>
      <c r="AE8" t="s">
        <v>631</v>
      </c>
      <c r="AF8" t="s">
        <v>626</v>
      </c>
      <c r="AG8">
        <f>_xlfn.XLOOKUP(Table124[[#This Row],[ACA Number]],Table12[NAT Number],Table12[TT race points])</f>
        <v>68.92</v>
      </c>
      <c r="AH8">
        <f>_xlfn.XLOOKUP(Table124[[#This Row],[ACA Number]],Table1225[NAT Number],Table1225[TT race points])</f>
        <v>36.6</v>
      </c>
      <c r="AI8">
        <f>_xlfn.XLOOKUP(Table124[[#This Row],[ACA Number]],Table127163143556779[NAT Number],Table127163143556779[TT race points])</f>
        <v>2.75</v>
      </c>
      <c r="AJ8" cm="1">
        <f t="array" ref="AJ8">_xlfn.LET(_xlpm.r,Table124[[#This Row],[PM SL1]:[MF SL]],_xlpm.m,_xlfn.AGGREGATE(15,6,_xlpm.r/(_xlpm.r&lt;&gt;999.99),1),IFERROR(_xlpm.m,999.99))</f>
        <v>2.75</v>
      </c>
      <c r="AK8" cm="1">
        <f t="array" ref="AK8">_xlfn.LET(_xlpm.r,Table124[[#This Row],[PM SL1]:[MF SL]],_xlpm.m,_xlfn.AGGREGATE(15,6,_xlpm.r/(_xlpm.r&lt;&gt;999.99),2),IFERROR(_xlpm.m,999.99))</f>
        <v>36.6</v>
      </c>
      <c r="AM8">
        <v>93762</v>
      </c>
      <c r="AN8" t="s">
        <v>631</v>
      </c>
      <c r="AO8" t="s">
        <v>626</v>
      </c>
      <c r="AP8">
        <f>_xlfn.XLOOKUP(Table125[[#This Row],[ACA Number]],Table127163143556797103[NAT Number],Table127163143556797103[TT race points])</f>
        <v>30.17</v>
      </c>
      <c r="AQ8">
        <f>_xlfn.XLOOKUP(Table125[[#This Row],[ACA Number]],Table127163143556797[NAT Number],Table127163143556797[TT race points])</f>
        <v>172.6</v>
      </c>
      <c r="AR8">
        <f>_xlfn.XLOOKUP(Table125[[#This Row],[ACA Number]],Table1271631435567[NAT Number],Table1271631435567[TT race points])</f>
        <v>40.369999999999997</v>
      </c>
      <c r="AS8" cm="1">
        <f t="array" ref="AS8">_xlfn.LET(_xlpm.r,Table125[[#This Row],[CM GS1]:[MF GS]],_xlpm.m,_xlfn.AGGREGATE(15,6,_xlpm.r/(_xlpm.r&lt;&gt;999.99),1),IFERROR(_xlpm.m,999.99))</f>
        <v>30.17</v>
      </c>
      <c r="AT8" cm="1">
        <f t="array" ref="AT8">_xlfn.LET(_xlpm.r,Table125[[#This Row],[CM GS1]:[MF GS]],_xlpm.m,_xlfn.AGGREGATE(15,6,_xlpm.r/(_xlpm.r&lt;&gt;999.99),2),IFERROR(_xlpm.m,999.99))</f>
        <v>40.369999999999997</v>
      </c>
      <c r="AV8">
        <v>117693</v>
      </c>
      <c r="AW8" t="s">
        <v>645</v>
      </c>
      <c r="AX8" t="s">
        <v>626</v>
      </c>
      <c r="AY8">
        <f>_xlfn.XLOOKUP(Table126[[#This Row],[ACA Number]],Table121[ACA Number],Table121[Best 1 run SL race])</f>
        <v>43.08</v>
      </c>
      <c r="AZ8">
        <f>_xlfn.XLOOKUP(Table126[[#This Row],[ACA Number]],Table123[ACA Number],Table123[Best 1 Run])</f>
        <v>35.47</v>
      </c>
      <c r="BA8">
        <f>_xlfn.XLOOKUP(Table126[[#This Row],[ACA Number]],Table122[ACA Number],Table122[Best 1 run GS Race])</f>
        <v>180.3</v>
      </c>
      <c r="BB8">
        <f>_xlfn.XLOOKUP(Table126[[#This Row],[ACA Number]],Table124[ACA Number],Table124[Best result],)</f>
        <v>51.96</v>
      </c>
      <c r="BC8">
        <f>_xlfn.XLOOKUP(Table126[[#This Row],[ACA Number]],Table124[ACA Number],Table124[2nd Best Result])</f>
        <v>140.01</v>
      </c>
      <c r="BD8">
        <f>_xlfn.XLOOKUP(Table126[[#This Row],[ACA Number]],Table125[ACA Number],Table125[Best result])</f>
        <v>29.58</v>
      </c>
      <c r="BE8">
        <f>_xlfn.XLOOKUP(Table126[[#This Row],[ACA Number]],Table125[ACA Number],Table125[2nd Best Result])</f>
        <v>52.07</v>
      </c>
      <c r="BF8">
        <f t="shared" si="0"/>
        <v>532.47</v>
      </c>
      <c r="BG8">
        <f>_xlfn.RANK.EQ(Table126[[#This Row],[Total Points]],Table126[Total Points],1)</f>
        <v>6</v>
      </c>
    </row>
    <row r="9" spans="1:59" x14ac:dyDescent="0.3">
      <c r="A9">
        <v>93764</v>
      </c>
      <c r="B9" t="s">
        <v>639</v>
      </c>
      <c r="C9" t="s">
        <v>626</v>
      </c>
      <c r="D9">
        <f>_xlfn.XLOOKUP(Table121[[#This Row],[ACA Number]],Table12[NAT Number],Table12[run 1 points])</f>
        <v>92</v>
      </c>
      <c r="E9">
        <f>_xlfn.XLOOKUP(Table121[[#This Row],[ACA Number]],Table12[NAT Number],Table12[run 2 points])</f>
        <v>66.67</v>
      </c>
      <c r="F9">
        <f>_xlfn.XLOOKUP(Table121[[#This Row],[ACA Number]],Table1225[NAT Number],Table1225[run 1 points])</f>
        <v>999.99</v>
      </c>
      <c r="G9">
        <f>_xlfn.XLOOKUP(Table121[[#This Row],[ACA Number]],Table1225[NAT Number],Table1225[run 2 points])</f>
        <v>999.99</v>
      </c>
      <c r="H9">
        <f>_xlfn.XLOOKUP(Table121[[#This Row],[ACA Number]],Table127163143556779[NAT Number],Table127163143556779[run 1 points])</f>
        <v>25.8</v>
      </c>
      <c r="I9">
        <f>_xlfn.XLOOKUP(Table121[[#This Row],[ACA Number]],Table127163143556779[NAT Number],Table127163143556779[run 2 points])</f>
        <v>7.65</v>
      </c>
      <c r="J9" cm="1">
        <f t="array" ref="J9">_xlfn.LET(_xlpm.r,Table121[[#This Row],[PM SL1 R1]:[MF SL1 R2]],_xlpm.m,_xlfn.AGGREGATE(15,6,_xlpm.r/(_xlpm.r&lt;&gt;999.99),1),IFERROR(_xlpm.m,999.99))</f>
        <v>7.65</v>
      </c>
      <c r="L9">
        <v>102457</v>
      </c>
      <c r="M9" t="s">
        <v>632</v>
      </c>
      <c r="N9" t="s">
        <v>626</v>
      </c>
      <c r="O9">
        <f>_xlfn.XLOOKUP(Table122[[#This Row],[ACA Number]],Table1271631[NAT Number],Table1271631[run 1 points])</f>
        <v>229.57</v>
      </c>
      <c r="P9">
        <f>_xlfn.XLOOKUP(Table122[[#This Row],[ACA Number]],Table1221101934[NAT Number],Table1221101934[run 1 points])</f>
        <v>225.49</v>
      </c>
      <c r="Q9" cm="1">
        <f t="array" ref="Q9">_xlfn.LET(_xlpm.r,Table122[[#This Row],[CM SG R1]:[CM SG R2]],_xlpm.m,_xlfn.AGGREGATE(15,6,_xlpm.r/(_xlpm.r&lt;&gt;999.99),1),IFERROR(_xlpm.m,999.99))</f>
        <v>225.49</v>
      </c>
      <c r="S9">
        <v>102457</v>
      </c>
      <c r="T9" t="s">
        <v>632</v>
      </c>
      <c r="U9" t="s">
        <v>626</v>
      </c>
      <c r="V9">
        <f>_xlfn.XLOOKUP(Table123[[#This Row],[ACA Number]],Table127163143556797103[NAT Number],Table127163143556797103[run 1 points])</f>
        <v>32.76</v>
      </c>
      <c r="W9">
        <f>_xlfn.XLOOKUP(Table123[[#This Row],[ACA Number]],Table127163143556797103[NAT Number],Table127163143556797103[run 2 points])</f>
        <v>72.73</v>
      </c>
      <c r="X9">
        <f>_xlfn.XLOOKUP(Table123[[#This Row],[ACA Number]],Table127163143556797[NAT Number],Table127163143556797[run 1 points])</f>
        <v>195.57</v>
      </c>
      <c r="Y9">
        <f>_xlfn.XLOOKUP(Table123[[#This Row],[ACA Number]],Table127163143556797[NAT Number],Table127163143556797[run 2 points])</f>
        <v>158.41</v>
      </c>
      <c r="Z9">
        <f>_xlfn.XLOOKUP(Table123[[#This Row],[ACA Number]],Table1271631435567[NAT Number],Table1271631435567[run 1 points])</f>
        <v>37.57</v>
      </c>
      <c r="AA9">
        <f>_xlfn.XLOOKUP(Table123[[#This Row],[ACA Number]],Table1271631435567[NAT Number],Table1271631435567[run 2 points])</f>
        <v>41.53</v>
      </c>
      <c r="AB9" cm="1">
        <f t="array" ref="AB9">_xlfn.LET(_xlpm.r,Table123[[#This Row],[CM GS1 R1]:[MF GS R2]],_xlpm.m,_xlfn.AGGREGATE(15,6,_xlpm.r/(_xlpm.r&lt;&gt;999.99),1),IFERROR(_xlpm.m,999.99))</f>
        <v>32.76</v>
      </c>
      <c r="AD9">
        <v>102457</v>
      </c>
      <c r="AE9" t="s">
        <v>632</v>
      </c>
      <c r="AF9" t="s">
        <v>626</v>
      </c>
      <c r="AG9">
        <f>_xlfn.XLOOKUP(Table124[[#This Row],[ACA Number]],Table12[NAT Number],Table12[TT race points])</f>
        <v>999.99</v>
      </c>
      <c r="AH9">
        <f>_xlfn.XLOOKUP(Table124[[#This Row],[ACA Number]],Table1225[NAT Number],Table1225[TT race points])</f>
        <v>60.7</v>
      </c>
      <c r="AI9">
        <f>_xlfn.XLOOKUP(Table124[[#This Row],[ACA Number]],Table127163143556779[NAT Number],Table127163143556779[TT race points])</f>
        <v>18.71</v>
      </c>
      <c r="AJ9" cm="1">
        <f t="array" ref="AJ9">_xlfn.LET(_xlpm.r,Table124[[#This Row],[PM SL1]:[MF SL]],_xlpm.m,_xlfn.AGGREGATE(15,6,_xlpm.r/(_xlpm.r&lt;&gt;999.99),1),IFERROR(_xlpm.m,999.99))</f>
        <v>18.71</v>
      </c>
      <c r="AK9" cm="1">
        <f t="array" ref="AK9">_xlfn.LET(_xlpm.r,Table124[[#This Row],[PM SL1]:[MF SL]],_xlpm.m,_xlfn.AGGREGATE(15,6,_xlpm.r/(_xlpm.r&lt;&gt;999.99),2),IFERROR(_xlpm.m,999.99))</f>
        <v>60.7</v>
      </c>
      <c r="AM9">
        <v>102457</v>
      </c>
      <c r="AN9" t="s">
        <v>632</v>
      </c>
      <c r="AO9" t="s">
        <v>626</v>
      </c>
      <c r="AP9">
        <f>_xlfn.XLOOKUP(Table125[[#This Row],[ACA Number]],Table127163143556797103[NAT Number],Table127163143556797103[TT race points])</f>
        <v>17.05</v>
      </c>
      <c r="AQ9">
        <f>_xlfn.XLOOKUP(Table125[[#This Row],[ACA Number]],Table127163143556797[NAT Number],Table127163143556797[TT race points])</f>
        <v>176.07</v>
      </c>
      <c r="AR9">
        <f>_xlfn.XLOOKUP(Table125[[#This Row],[ACA Number]],Table1271631435567[NAT Number],Table1271631435567[TT race points])</f>
        <v>39.56</v>
      </c>
      <c r="AS9" cm="1">
        <f t="array" ref="AS9">_xlfn.LET(_xlpm.r,Table125[[#This Row],[CM GS1]:[MF GS]],_xlpm.m,_xlfn.AGGREGATE(15,6,_xlpm.r/(_xlpm.r&lt;&gt;999.99),1),IFERROR(_xlpm.m,999.99))</f>
        <v>17.05</v>
      </c>
      <c r="AT9" cm="1">
        <f t="array" ref="AT9">_xlfn.LET(_xlpm.r,Table125[[#This Row],[CM GS1]:[MF GS]],_xlpm.m,_xlfn.AGGREGATE(15,6,_xlpm.r/(_xlpm.r&lt;&gt;999.99),2),IFERROR(_xlpm.m,999.99))</f>
        <v>39.56</v>
      </c>
      <c r="AV9">
        <v>93764</v>
      </c>
      <c r="AW9" t="s">
        <v>639</v>
      </c>
      <c r="AX9" t="s">
        <v>626</v>
      </c>
      <c r="AY9">
        <f>_xlfn.XLOOKUP(Table126[[#This Row],[ACA Number]],Table121[ACA Number],Table121[Best 1 run SL race])</f>
        <v>7.65</v>
      </c>
      <c r="AZ9">
        <f>_xlfn.XLOOKUP(Table126[[#This Row],[ACA Number]],Table123[ACA Number],Table123[Best 1 Run])</f>
        <v>65.38</v>
      </c>
      <c r="BA9">
        <f>_xlfn.XLOOKUP(Table126[[#This Row],[ACA Number]],Table122[ACA Number],Table122[Best 1 run GS Race])</f>
        <v>276.01</v>
      </c>
      <c r="BB9">
        <f>_xlfn.XLOOKUP(Table126[[#This Row],[ACA Number]],Table124[ACA Number],Table124[Best result],)</f>
        <v>13.06</v>
      </c>
      <c r="BC9">
        <f>_xlfn.XLOOKUP(Table126[[#This Row],[ACA Number]],Table124[ACA Number],Table124[2nd Best Result])</f>
        <v>78.16</v>
      </c>
      <c r="BD9">
        <f>_xlfn.XLOOKUP(Table126[[#This Row],[ACA Number]],Table125[ACA Number],Table125[Best result])</f>
        <v>64.92</v>
      </c>
      <c r="BE9">
        <f>_xlfn.XLOOKUP(Table126[[#This Row],[ACA Number]],Table125[ACA Number],Table125[2nd Best Result])</f>
        <v>95.17</v>
      </c>
      <c r="BF9">
        <f t="shared" si="0"/>
        <v>600.35</v>
      </c>
      <c r="BG9">
        <f>_xlfn.RANK.EQ(Table126[[#This Row],[Total Points]],Table126[Total Points],1)</f>
        <v>7</v>
      </c>
    </row>
    <row r="10" spans="1:59" x14ac:dyDescent="0.3">
      <c r="A10">
        <v>102713</v>
      </c>
      <c r="B10" t="s">
        <v>634</v>
      </c>
      <c r="C10" t="s">
        <v>626</v>
      </c>
      <c r="D10">
        <f>_xlfn.XLOOKUP(Table121[[#This Row],[ACA Number]],Table12[NAT Number],Table12[run 1 points])</f>
        <v>69.760000000000005</v>
      </c>
      <c r="E10">
        <f>_xlfn.XLOOKUP(Table121[[#This Row],[ACA Number]],Table12[NAT Number],Table12[run 2 points])</f>
        <v>79.3</v>
      </c>
      <c r="F10">
        <f>_xlfn.XLOOKUP(Table121[[#This Row],[ACA Number]],Table1225[NAT Number],Table1225[run 1 points])</f>
        <v>77.650000000000006</v>
      </c>
      <c r="G10">
        <f>_xlfn.XLOOKUP(Table121[[#This Row],[ACA Number]],Table1225[NAT Number],Table1225[run 2 points])</f>
        <v>67.099999999999994</v>
      </c>
      <c r="H10">
        <f>_xlfn.XLOOKUP(Table121[[#This Row],[ACA Number]],Table127163143556779[NAT Number],Table127163143556779[run 1 points])</f>
        <v>52.85</v>
      </c>
      <c r="I10">
        <f>_xlfn.XLOOKUP(Table121[[#This Row],[ACA Number]],Table127163143556779[NAT Number],Table127163143556779[run 2 points])</f>
        <v>999.99</v>
      </c>
      <c r="J10" cm="1">
        <f t="array" ref="J10">_xlfn.LET(_xlpm.r,Table121[[#This Row],[PM SL1 R1]:[MF SL1 R2]],_xlpm.m,_xlfn.AGGREGATE(15,6,_xlpm.r/(_xlpm.r&lt;&gt;999.99),1),IFERROR(_xlpm.m,999.99))</f>
        <v>52.85</v>
      </c>
      <c r="L10">
        <v>117000</v>
      </c>
      <c r="M10" t="s">
        <v>633</v>
      </c>
      <c r="N10" t="s">
        <v>626</v>
      </c>
      <c r="O10">
        <f>_xlfn.XLOOKUP(Table122[[#This Row],[ACA Number]],Table1271631[NAT Number],Table1271631[run 1 points])</f>
        <v>398.84</v>
      </c>
      <c r="P10">
        <f>_xlfn.XLOOKUP(Table122[[#This Row],[ACA Number]],Table1221101934[NAT Number],Table1221101934[run 1 points])</f>
        <v>458.62</v>
      </c>
      <c r="Q10" cm="1">
        <f t="array" ref="Q10">_xlfn.LET(_xlpm.r,Table122[[#This Row],[CM SG R1]:[CM SG R2]],_xlpm.m,_xlfn.AGGREGATE(15,6,_xlpm.r/(_xlpm.r&lt;&gt;999.99),1),IFERROR(_xlpm.m,999.99))</f>
        <v>398.84</v>
      </c>
      <c r="S10">
        <v>117000</v>
      </c>
      <c r="T10" t="s">
        <v>633</v>
      </c>
      <c r="U10" t="s">
        <v>626</v>
      </c>
      <c r="V10">
        <f>_xlfn.XLOOKUP(Table123[[#This Row],[ACA Number]],Table127163143556797103[NAT Number],Table127163143556797103[run 1 points])</f>
        <v>261.52999999999997</v>
      </c>
      <c r="W10">
        <f>_xlfn.XLOOKUP(Table123[[#This Row],[ACA Number]],Table127163143556797103[NAT Number],Table127163143556797103[run 2 points])</f>
        <v>254.78</v>
      </c>
      <c r="X10">
        <f>_xlfn.XLOOKUP(Table123[[#This Row],[ACA Number]],Table127163143556797[NAT Number],Table127163143556797[run 1 points])</f>
        <v>366.8</v>
      </c>
      <c r="Y10">
        <f>_xlfn.XLOOKUP(Table123[[#This Row],[ACA Number]],Table127163143556797[NAT Number],Table127163143556797[run 2 points])</f>
        <v>368.88</v>
      </c>
      <c r="Z10">
        <f>_xlfn.XLOOKUP(Table123[[#This Row],[ACA Number]],Table1271631435567[NAT Number],Table1271631435567[run 1 points])</f>
        <v>280.62</v>
      </c>
      <c r="AA10">
        <f>_xlfn.XLOOKUP(Table123[[#This Row],[ACA Number]],Table1271631435567[NAT Number],Table1271631435567[run 2 points])</f>
        <v>219.5</v>
      </c>
      <c r="AB10" cm="1">
        <f t="array" ref="AB10">_xlfn.LET(_xlpm.r,Table123[[#This Row],[CM GS1 R1]:[MF GS R2]],_xlpm.m,_xlfn.AGGREGATE(15,6,_xlpm.r/(_xlpm.r&lt;&gt;999.99),1),IFERROR(_xlpm.m,999.99))</f>
        <v>219.5</v>
      </c>
      <c r="AD10">
        <v>117000</v>
      </c>
      <c r="AE10" t="s">
        <v>633</v>
      </c>
      <c r="AF10" t="s">
        <v>626</v>
      </c>
      <c r="AG10">
        <f>_xlfn.XLOOKUP(Table124[[#This Row],[ACA Number]],Table12[NAT Number],Table12[TT race points])</f>
        <v>284.41000000000003</v>
      </c>
      <c r="AH10">
        <f>_xlfn.XLOOKUP(Table124[[#This Row],[ACA Number]],Table1225[NAT Number],Table1225[TT race points])</f>
        <v>999.99</v>
      </c>
      <c r="AI10">
        <f>_xlfn.XLOOKUP(Table124[[#This Row],[ACA Number]],Table127163143556779[NAT Number],Table127163143556779[TT race points])</f>
        <v>269.17</v>
      </c>
      <c r="AJ10" cm="1">
        <f t="array" ref="AJ10">_xlfn.LET(_xlpm.r,Table124[[#This Row],[PM SL1]:[MF SL]],_xlpm.m,_xlfn.AGGREGATE(15,6,_xlpm.r/(_xlpm.r&lt;&gt;999.99),1),IFERROR(_xlpm.m,999.99))</f>
        <v>269.17</v>
      </c>
      <c r="AK10" cm="1">
        <f t="array" ref="AK10">_xlfn.LET(_xlpm.r,Table124[[#This Row],[PM SL1]:[MF SL]],_xlpm.m,_xlfn.AGGREGATE(15,6,_xlpm.r/(_xlpm.r&lt;&gt;999.99),2),IFERROR(_xlpm.m,999.99))</f>
        <v>284.41000000000003</v>
      </c>
      <c r="AM10">
        <v>117000</v>
      </c>
      <c r="AN10" t="s">
        <v>633</v>
      </c>
      <c r="AO10" t="s">
        <v>626</v>
      </c>
      <c r="AP10">
        <f>_xlfn.XLOOKUP(Table125[[#This Row],[ACA Number]],Table127163143556797103[NAT Number],Table127163143556797103[TT race points])</f>
        <v>216.81</v>
      </c>
      <c r="AQ10">
        <f>_xlfn.XLOOKUP(Table125[[#This Row],[ACA Number]],Table127163143556797[NAT Number],Table127163143556797[TT race points])</f>
        <v>367.89</v>
      </c>
      <c r="AR10">
        <f>_xlfn.XLOOKUP(Table125[[#This Row],[ACA Number]],Table1271631435567[NAT Number],Table1271631435567[TT race points])</f>
        <v>249.88</v>
      </c>
      <c r="AS10" cm="1">
        <f t="array" ref="AS10">_xlfn.LET(_xlpm.r,Table125[[#This Row],[CM GS1]:[MF GS]],_xlpm.m,_xlfn.AGGREGATE(15,6,_xlpm.r/(_xlpm.r&lt;&gt;999.99),1),IFERROR(_xlpm.m,999.99))</f>
        <v>216.81</v>
      </c>
      <c r="AT10" cm="1">
        <f t="array" ref="AT10">_xlfn.LET(_xlpm.r,Table125[[#This Row],[CM GS1]:[MF GS]],_xlpm.m,_xlfn.AGGREGATE(15,6,_xlpm.r/(_xlpm.r&lt;&gt;999.99),2),IFERROR(_xlpm.m,999.99))</f>
        <v>249.88</v>
      </c>
      <c r="AV10">
        <v>107311</v>
      </c>
      <c r="AW10" t="s">
        <v>635</v>
      </c>
      <c r="AX10" t="s">
        <v>626</v>
      </c>
      <c r="AY10">
        <f>_xlfn.XLOOKUP(Table126[[#This Row],[ACA Number]],Table121[ACA Number],Table121[Best 1 run SL race])</f>
        <v>50.02</v>
      </c>
      <c r="AZ10">
        <f>_xlfn.XLOOKUP(Table126[[#This Row],[ACA Number]],Table123[ACA Number],Table123[Best 1 Run])</f>
        <v>58.78</v>
      </c>
      <c r="BA10">
        <f>_xlfn.XLOOKUP(Table126[[#This Row],[ACA Number]],Table122[ACA Number],Table122[Best 1 run GS Race])</f>
        <v>255.61</v>
      </c>
      <c r="BB10">
        <f>_xlfn.XLOOKUP(Table126[[#This Row],[ACA Number]],Table124[ACA Number],Table124[Best result],)</f>
        <v>51.56</v>
      </c>
      <c r="BC10">
        <f>_xlfn.XLOOKUP(Table126[[#This Row],[ACA Number]],Table124[ACA Number],Table124[2nd Best Result])</f>
        <v>52.56</v>
      </c>
      <c r="BD10">
        <f>_xlfn.XLOOKUP(Table126[[#This Row],[ACA Number]],Table125[ACA Number],Table125[Best result])</f>
        <v>52.73</v>
      </c>
      <c r="BE10">
        <f>_xlfn.XLOOKUP(Table126[[#This Row],[ACA Number]],Table125[ACA Number],Table125[2nd Best Result])</f>
        <v>93.25</v>
      </c>
      <c r="BF10">
        <f t="shared" si="0"/>
        <v>614.51</v>
      </c>
      <c r="BG10">
        <f>_xlfn.RANK.EQ(Table126[[#This Row],[Total Points]],Table126[Total Points],1)</f>
        <v>8</v>
      </c>
    </row>
    <row r="11" spans="1:59" x14ac:dyDescent="0.3">
      <c r="A11">
        <v>112516</v>
      </c>
      <c r="B11" t="s">
        <v>646</v>
      </c>
      <c r="C11" t="s">
        <v>626</v>
      </c>
      <c r="D11">
        <f>_xlfn.XLOOKUP(Table121[[#This Row],[ACA Number]],Table12[NAT Number],Table12[run 1 points])</f>
        <v>95.52</v>
      </c>
      <c r="E11">
        <f>_xlfn.XLOOKUP(Table121[[#This Row],[ACA Number]],Table12[NAT Number],Table12[run 2 points])</f>
        <v>100.07</v>
      </c>
      <c r="F11">
        <f>_xlfn.XLOOKUP(Table121[[#This Row],[ACA Number]],Table1225[NAT Number],Table1225[run 1 points])</f>
        <v>119.31</v>
      </c>
      <c r="G11">
        <f>_xlfn.XLOOKUP(Table121[[#This Row],[ACA Number]],Table1225[NAT Number],Table1225[run 2 points])</f>
        <v>68.16</v>
      </c>
      <c r="H11">
        <f>_xlfn.XLOOKUP(Table121[[#This Row],[ACA Number]],Table127163143556779[NAT Number],Table127163143556779[run 1 points])</f>
        <v>57.1</v>
      </c>
      <c r="I11">
        <f>_xlfn.XLOOKUP(Table121[[#This Row],[ACA Number]],Table127163143556779[NAT Number],Table127163143556779[run 2 points])</f>
        <v>48.61</v>
      </c>
      <c r="J11" cm="1">
        <f t="array" ref="J11">_xlfn.LET(_xlpm.r,Table121[[#This Row],[PM SL1 R1]:[MF SL1 R2]],_xlpm.m,_xlfn.AGGREGATE(15,6,_xlpm.r/(_xlpm.r&lt;&gt;999.99),1),IFERROR(_xlpm.m,999.99))</f>
        <v>48.61</v>
      </c>
      <c r="L11">
        <v>102713</v>
      </c>
      <c r="M11" t="s">
        <v>634</v>
      </c>
      <c r="N11" t="s">
        <v>626</v>
      </c>
      <c r="O11">
        <f>_xlfn.XLOOKUP(Table122[[#This Row],[ACA Number]],Table1271631[NAT Number],Table1271631[run 1 points])</f>
        <v>219.79</v>
      </c>
      <c r="P11">
        <f>_xlfn.XLOOKUP(Table122[[#This Row],[ACA Number]],Table1221101934[NAT Number],Table1221101934[run 1 points])</f>
        <v>255.38</v>
      </c>
      <c r="Q11" cm="1">
        <f t="array" ref="Q11">_xlfn.LET(_xlpm.r,Table122[[#This Row],[CM SG R1]:[CM SG R2]],_xlpm.m,_xlfn.AGGREGATE(15,6,_xlpm.r/(_xlpm.r&lt;&gt;999.99),1),IFERROR(_xlpm.m,999.99))</f>
        <v>219.79</v>
      </c>
      <c r="S11">
        <v>102713</v>
      </c>
      <c r="T11" t="s">
        <v>634</v>
      </c>
      <c r="U11" t="s">
        <v>626</v>
      </c>
      <c r="V11">
        <f>_xlfn.XLOOKUP(Table123[[#This Row],[ACA Number]],Table127163143556797103[NAT Number],Table127163143556797103[run 1 points])</f>
        <v>24.47</v>
      </c>
      <c r="W11">
        <f>_xlfn.XLOOKUP(Table123[[#This Row],[ACA Number]],Table127163143556797103[NAT Number],Table127163143556797103[run 2 points])</f>
        <v>74.87</v>
      </c>
      <c r="X11">
        <f>_xlfn.XLOOKUP(Table123[[#This Row],[ACA Number]],Table127163143556797[NAT Number],Table127163143556797[run 1 points])</f>
        <v>159.22</v>
      </c>
      <c r="Y11">
        <f>_xlfn.XLOOKUP(Table123[[#This Row],[ACA Number]],Table127163143556797[NAT Number],Table127163143556797[run 2 points])</f>
        <v>163.55000000000001</v>
      </c>
      <c r="Z11">
        <f>_xlfn.XLOOKUP(Table123[[#This Row],[ACA Number]],Table1271631435567[NAT Number],Table1271631435567[run 1 points])</f>
        <v>48.33</v>
      </c>
      <c r="AA11">
        <f>_xlfn.XLOOKUP(Table123[[#This Row],[ACA Number]],Table1271631435567[NAT Number],Table1271631435567[run 2 points])</f>
        <v>48.15</v>
      </c>
      <c r="AB11" cm="1">
        <f t="array" ref="AB11">_xlfn.LET(_xlpm.r,Table123[[#This Row],[CM GS1 R1]:[MF GS R2]],_xlpm.m,_xlfn.AGGREGATE(15,6,_xlpm.r/(_xlpm.r&lt;&gt;999.99),1),IFERROR(_xlpm.m,999.99))</f>
        <v>24.47</v>
      </c>
      <c r="AD11">
        <v>102713</v>
      </c>
      <c r="AE11" t="s">
        <v>634</v>
      </c>
      <c r="AF11" t="s">
        <v>626</v>
      </c>
      <c r="AG11">
        <f>_xlfn.XLOOKUP(Table124[[#This Row],[ACA Number]],Table12[NAT Number],Table12[TT race points])</f>
        <v>73.84</v>
      </c>
      <c r="AH11">
        <f>_xlfn.XLOOKUP(Table124[[#This Row],[ACA Number]],Table1225[NAT Number],Table1225[TT race points])</f>
        <v>72.28</v>
      </c>
      <c r="AI11">
        <f>_xlfn.XLOOKUP(Table124[[#This Row],[ACA Number]],Table127163143556779[NAT Number],Table127163143556779[TT race points])</f>
        <v>999.99</v>
      </c>
      <c r="AJ11" cm="1">
        <f t="array" ref="AJ11">_xlfn.LET(_xlpm.r,Table124[[#This Row],[PM SL1]:[MF SL]],_xlpm.m,_xlfn.AGGREGATE(15,6,_xlpm.r/(_xlpm.r&lt;&gt;999.99),1),IFERROR(_xlpm.m,999.99))</f>
        <v>72.28</v>
      </c>
      <c r="AK11" cm="1">
        <f t="array" ref="AK11">_xlfn.LET(_xlpm.r,Table124[[#This Row],[PM SL1]:[MF SL]],_xlpm.m,_xlfn.AGGREGATE(15,6,_xlpm.r/(_xlpm.r&lt;&gt;999.99),2),IFERROR(_xlpm.m,999.99))</f>
        <v>73.84</v>
      </c>
      <c r="AM11">
        <v>102713</v>
      </c>
      <c r="AN11" t="s">
        <v>634</v>
      </c>
      <c r="AO11" t="s">
        <v>626</v>
      </c>
      <c r="AP11">
        <f>_xlfn.XLOOKUP(Table125[[#This Row],[ACA Number]],Table127163143556797103[NAT Number],Table127163143556797103[TT race points])</f>
        <v>13.84</v>
      </c>
      <c r="AQ11">
        <f>_xlfn.XLOOKUP(Table125[[#This Row],[ACA Number]],Table127163143556797[NAT Number],Table127163143556797[TT race points])</f>
        <v>161.49</v>
      </c>
      <c r="AR11">
        <f>_xlfn.XLOOKUP(Table125[[#This Row],[ACA Number]],Table1271631435567[NAT Number],Table1271631435567[TT race points])</f>
        <v>48.24</v>
      </c>
      <c r="AS11" cm="1">
        <f t="array" ref="AS11">_xlfn.LET(_xlpm.r,Table125[[#This Row],[CM GS1]:[MF GS]],_xlpm.m,_xlfn.AGGREGATE(15,6,_xlpm.r/(_xlpm.r&lt;&gt;999.99),1),IFERROR(_xlpm.m,999.99))</f>
        <v>13.84</v>
      </c>
      <c r="AT11" cm="1">
        <f t="array" ref="AT11">_xlfn.LET(_xlpm.r,Table125[[#This Row],[CM GS1]:[MF GS]],_xlpm.m,_xlfn.AGGREGATE(15,6,_xlpm.r/(_xlpm.r&lt;&gt;999.99),2),IFERROR(_xlpm.m,999.99))</f>
        <v>48.24</v>
      </c>
      <c r="AV11">
        <v>104666</v>
      </c>
      <c r="AW11" t="s">
        <v>637</v>
      </c>
      <c r="AX11" t="s">
        <v>626</v>
      </c>
      <c r="AY11">
        <f>_xlfn.XLOOKUP(Table126[[#This Row],[ACA Number]],Table121[ACA Number],Table121[Best 1 run SL race])</f>
        <v>50.81</v>
      </c>
      <c r="AZ11">
        <f>_xlfn.XLOOKUP(Table126[[#This Row],[ACA Number]],Table123[ACA Number],Table123[Best 1 Run])</f>
        <v>43.05</v>
      </c>
      <c r="BA11">
        <f>_xlfn.XLOOKUP(Table126[[#This Row],[ACA Number]],Table122[ACA Number],Table122[Best 1 run GS Race])</f>
        <v>170.79</v>
      </c>
      <c r="BB11">
        <f>_xlfn.XLOOKUP(Table126[[#This Row],[ACA Number]],Table124[ACA Number],Table124[Best result],)</f>
        <v>78.39</v>
      </c>
      <c r="BC11">
        <f>_xlfn.XLOOKUP(Table126[[#This Row],[ACA Number]],Table124[ACA Number],Table124[2nd Best Result])</f>
        <v>215.69</v>
      </c>
      <c r="BD11">
        <f>_xlfn.XLOOKUP(Table126[[#This Row],[ACA Number]],Table125[ACA Number],Table125[Best result])</f>
        <v>12.66</v>
      </c>
      <c r="BE11">
        <f>_xlfn.XLOOKUP(Table126[[#This Row],[ACA Number]],Table125[ACA Number],Table125[2nd Best Result])</f>
        <v>47.63</v>
      </c>
      <c r="BF11">
        <f t="shared" si="0"/>
        <v>619.02</v>
      </c>
      <c r="BG11">
        <f>_xlfn.RANK.EQ(Table126[[#This Row],[Total Points]],Table126[Total Points],1)</f>
        <v>9</v>
      </c>
    </row>
    <row r="12" spans="1:59" x14ac:dyDescent="0.3">
      <c r="A12">
        <v>117693</v>
      </c>
      <c r="B12" t="s">
        <v>645</v>
      </c>
      <c r="C12" t="s">
        <v>626</v>
      </c>
      <c r="D12">
        <f>_xlfn.XLOOKUP(Table121[[#This Row],[ACA Number]],Table12[NAT Number],Table12[run 1 points])</f>
        <v>157.62</v>
      </c>
      <c r="E12">
        <f>_xlfn.XLOOKUP(Table121[[#This Row],[ACA Number]],Table12[NAT Number],Table12[run 2 points])</f>
        <v>125.06</v>
      </c>
      <c r="F12">
        <f>_xlfn.XLOOKUP(Table121[[#This Row],[ACA Number]],Table1225[NAT Number],Table1225[run 1 points])</f>
        <v>999.99</v>
      </c>
      <c r="G12">
        <f>_xlfn.XLOOKUP(Table121[[#This Row],[ACA Number]],Table1225[NAT Number],Table1225[run 2 points])</f>
        <v>131.46</v>
      </c>
      <c r="H12">
        <f>_xlfn.XLOOKUP(Table121[[#This Row],[ACA Number]],Table127163143556779[NAT Number],Table127163143556779[run 1 points])</f>
        <v>68.89</v>
      </c>
      <c r="I12">
        <f>_xlfn.XLOOKUP(Table121[[#This Row],[ACA Number]],Table127163143556779[NAT Number],Table127163143556779[run 2 points])</f>
        <v>43.08</v>
      </c>
      <c r="J12" cm="1">
        <f t="array" ref="J12">_xlfn.LET(_xlpm.r,Table121[[#This Row],[PM SL1 R1]:[MF SL1 R2]],_xlpm.m,_xlfn.AGGREGATE(15,6,_xlpm.r/(_xlpm.r&lt;&gt;999.99),1),IFERROR(_xlpm.m,999.99))</f>
        <v>43.08</v>
      </c>
      <c r="L12">
        <v>107311</v>
      </c>
      <c r="M12" t="s">
        <v>635</v>
      </c>
      <c r="N12" t="s">
        <v>626</v>
      </c>
      <c r="O12">
        <f>_xlfn.XLOOKUP(Table122[[#This Row],[ACA Number]],Table1271631[NAT Number],Table1271631[run 1 points])</f>
        <v>266.13</v>
      </c>
      <c r="P12">
        <f>_xlfn.XLOOKUP(Table122[[#This Row],[ACA Number]],Table1221101934[NAT Number],Table1221101934[run 1 points])</f>
        <v>255.61</v>
      </c>
      <c r="Q12" cm="1">
        <f t="array" ref="Q12">_xlfn.LET(_xlpm.r,Table122[[#This Row],[CM SG R1]:[CM SG R2]],_xlpm.m,_xlfn.AGGREGATE(15,6,_xlpm.r/(_xlpm.r&lt;&gt;999.99),1),IFERROR(_xlpm.m,999.99))</f>
        <v>255.61</v>
      </c>
      <c r="S12">
        <v>107311</v>
      </c>
      <c r="T12" t="s">
        <v>635</v>
      </c>
      <c r="U12" t="s">
        <v>626</v>
      </c>
      <c r="V12">
        <f>_xlfn.XLOOKUP(Table123[[#This Row],[ACA Number]],Table127163143556797103[NAT Number],Table127163143556797103[run 1 points])</f>
        <v>58.78</v>
      </c>
      <c r="W12">
        <f>_xlfn.XLOOKUP(Table123[[#This Row],[ACA Number]],Table127163143556797103[NAT Number],Table127163143556797103[run 2 points])</f>
        <v>121.55</v>
      </c>
      <c r="X12">
        <f>_xlfn.XLOOKUP(Table123[[#This Row],[ACA Number]],Table127163143556797[NAT Number],Table127163143556797[run 1 points])</f>
        <v>199.47</v>
      </c>
      <c r="Y12">
        <f>_xlfn.XLOOKUP(Table123[[#This Row],[ACA Number]],Table127163143556797[NAT Number],Table127163143556797[run 2 points])</f>
        <v>188.85</v>
      </c>
      <c r="Z12">
        <f>_xlfn.XLOOKUP(Table123[[#This Row],[ACA Number]],Table1271631435567[NAT Number],Table1271631435567[run 1 points])</f>
        <v>95.23</v>
      </c>
      <c r="AA12">
        <f>_xlfn.XLOOKUP(Table123[[#This Row],[ACA Number]],Table1271631435567[NAT Number],Table1271631435567[run 2 points])</f>
        <v>91.29</v>
      </c>
      <c r="AB12" cm="1">
        <f t="array" ref="AB12">_xlfn.LET(_xlpm.r,Table123[[#This Row],[CM GS1 R1]:[MF GS R2]],_xlpm.m,_xlfn.AGGREGATE(15,6,_xlpm.r/(_xlpm.r&lt;&gt;999.99),1),IFERROR(_xlpm.m,999.99))</f>
        <v>58.78</v>
      </c>
      <c r="AD12">
        <v>107311</v>
      </c>
      <c r="AE12" t="s">
        <v>635</v>
      </c>
      <c r="AF12" t="s">
        <v>626</v>
      </c>
      <c r="AG12">
        <f>_xlfn.XLOOKUP(Table124[[#This Row],[ACA Number]],Table12[NAT Number],Table12[TT race points])</f>
        <v>51.56</v>
      </c>
      <c r="AH12">
        <f>_xlfn.XLOOKUP(Table124[[#This Row],[ACA Number]],Table1225[NAT Number],Table1225[TT race points])</f>
        <v>111.51</v>
      </c>
      <c r="AI12">
        <f>_xlfn.XLOOKUP(Table124[[#This Row],[ACA Number]],Table127163143556779[NAT Number],Table127163143556779[TT race points])</f>
        <v>52.56</v>
      </c>
      <c r="AJ12" cm="1">
        <f t="array" ref="AJ12">_xlfn.LET(_xlpm.r,Table124[[#This Row],[PM SL1]:[MF SL]],_xlpm.m,_xlfn.AGGREGATE(15,6,_xlpm.r/(_xlpm.r&lt;&gt;999.99),1),IFERROR(_xlpm.m,999.99))</f>
        <v>51.56</v>
      </c>
      <c r="AK12" cm="1">
        <f t="array" ref="AK12">_xlfn.LET(_xlpm.r,Table124[[#This Row],[PM SL1]:[MF SL]],_xlpm.m,_xlfn.AGGREGATE(15,6,_xlpm.r/(_xlpm.r&lt;&gt;999.99),2),IFERROR(_xlpm.m,999.99))</f>
        <v>52.56</v>
      </c>
      <c r="AM12">
        <v>107311</v>
      </c>
      <c r="AN12" t="s">
        <v>635</v>
      </c>
      <c r="AO12" t="s">
        <v>626</v>
      </c>
      <c r="AP12">
        <f>_xlfn.XLOOKUP(Table125[[#This Row],[ACA Number]],Table127163143556797103[NAT Number],Table127163143556797103[TT race points])</f>
        <v>52.73</v>
      </c>
      <c r="AQ12">
        <f>_xlfn.XLOOKUP(Table125[[#This Row],[ACA Number]],Table127163143556797[NAT Number],Table127163143556797[TT race points])</f>
        <v>193.9</v>
      </c>
      <c r="AR12">
        <f>_xlfn.XLOOKUP(Table125[[#This Row],[ACA Number]],Table1271631435567[NAT Number],Table1271631435567[TT race points])</f>
        <v>93.25</v>
      </c>
      <c r="AS12" cm="1">
        <f t="array" ref="AS12">_xlfn.LET(_xlpm.r,Table125[[#This Row],[CM GS1]:[MF GS]],_xlpm.m,_xlfn.AGGREGATE(15,6,_xlpm.r/(_xlpm.r&lt;&gt;999.99),1),IFERROR(_xlpm.m,999.99))</f>
        <v>52.73</v>
      </c>
      <c r="AT12" cm="1">
        <f t="array" ref="AT12">_xlfn.LET(_xlpm.r,Table125[[#This Row],[CM GS1]:[MF GS]],_xlpm.m,_xlfn.AGGREGATE(15,6,_xlpm.r/(_xlpm.r&lt;&gt;999.99),2),IFERROR(_xlpm.m,999.99))</f>
        <v>93.25</v>
      </c>
      <c r="AV12">
        <v>112516</v>
      </c>
      <c r="AW12" t="s">
        <v>646</v>
      </c>
      <c r="AX12" t="s">
        <v>626</v>
      </c>
      <c r="AY12">
        <f>_xlfn.XLOOKUP(Table126[[#This Row],[ACA Number]],Table121[ACA Number],Table121[Best 1 run SL race])</f>
        <v>48.61</v>
      </c>
      <c r="AZ12">
        <f>_xlfn.XLOOKUP(Table126[[#This Row],[ACA Number]],Table123[ACA Number],Table123[Best 1 Run])</f>
        <v>68.62</v>
      </c>
      <c r="BA12">
        <f>_xlfn.XLOOKUP(Table126[[#This Row],[ACA Number]],Table122[ACA Number],Table122[Best 1 run GS Race])</f>
        <v>288.24</v>
      </c>
      <c r="BB12">
        <f>_xlfn.XLOOKUP(Table126[[#This Row],[ACA Number]],Table124[ACA Number],Table124[Best result],)</f>
        <v>49.29</v>
      </c>
      <c r="BC12">
        <f>_xlfn.XLOOKUP(Table126[[#This Row],[ACA Number]],Table124[ACA Number],Table124[2nd Best Result])</f>
        <v>93.29</v>
      </c>
      <c r="BD12">
        <f>_xlfn.XLOOKUP(Table126[[#This Row],[ACA Number]],Table125[ACA Number],Table125[Best result])</f>
        <v>52.92</v>
      </c>
      <c r="BE12">
        <f>_xlfn.XLOOKUP(Table126[[#This Row],[ACA Number]],Table125[ACA Number],Table125[2nd Best Result])</f>
        <v>97.69</v>
      </c>
      <c r="BF12">
        <f t="shared" si="0"/>
        <v>698.66000000000008</v>
      </c>
      <c r="BG12">
        <f>_xlfn.RANK.EQ(Table126[[#This Row],[Total Points]],Table126[Total Points],1)</f>
        <v>10</v>
      </c>
    </row>
    <row r="13" spans="1:59" x14ac:dyDescent="0.3">
      <c r="A13">
        <v>102777</v>
      </c>
      <c r="B13" t="s">
        <v>630</v>
      </c>
      <c r="C13" t="s">
        <v>626</v>
      </c>
      <c r="D13">
        <f>_xlfn.XLOOKUP(Table121[[#This Row],[ACA Number]],Table12[NAT Number],Table12[run 1 points])</f>
        <v>999.99</v>
      </c>
      <c r="E13">
        <f>_xlfn.XLOOKUP(Table121[[#This Row],[ACA Number]],Table12[NAT Number],Table12[run 2 points])</f>
        <v>168.34</v>
      </c>
      <c r="F13">
        <f>_xlfn.XLOOKUP(Table121[[#This Row],[ACA Number]],Table1225[NAT Number],Table1225[run 1 points])</f>
        <v>161.91</v>
      </c>
      <c r="G13">
        <f>_xlfn.XLOOKUP(Table121[[#This Row],[ACA Number]],Table1225[NAT Number],Table1225[run 2 points])</f>
        <v>143.44999999999999</v>
      </c>
      <c r="H13">
        <f>_xlfn.XLOOKUP(Table121[[#This Row],[ACA Number]],Table127163143556779[NAT Number],Table127163143556779[run 1 points])</f>
        <v>44.67</v>
      </c>
      <c r="I13">
        <f>_xlfn.XLOOKUP(Table121[[#This Row],[ACA Number]],Table127163143556779[NAT Number],Table127163143556779[run 2 points])</f>
        <v>38.26</v>
      </c>
      <c r="J13" cm="1">
        <f t="array" ref="J13">_xlfn.LET(_xlpm.r,Table121[[#This Row],[PM SL1 R1]:[MF SL1 R2]],_xlpm.m,_xlfn.AGGREGATE(15,6,_xlpm.r/(_xlpm.r&lt;&gt;999.99),1),IFERROR(_xlpm.m,999.99))</f>
        <v>38.26</v>
      </c>
      <c r="L13">
        <v>123271</v>
      </c>
      <c r="M13" t="s">
        <v>636</v>
      </c>
      <c r="N13" t="s">
        <v>626</v>
      </c>
      <c r="O13" t="e">
        <f>_xlfn.XLOOKUP(Table122[[#This Row],[ACA Number]],Table1271631[NAT Number],Table1271631[run 1 points])</f>
        <v>#N/A</v>
      </c>
      <c r="P13" t="e">
        <f>_xlfn.XLOOKUP(Table122[[#This Row],[ACA Number]],Table1221101934[NAT Number],Table1221101934[run 1 points])</f>
        <v>#N/A</v>
      </c>
      <c r="Q13" cm="1">
        <f t="array" ref="Q13">_xlfn.LET(_xlpm.r,Table122[[#This Row],[CM SG R1]:[CM SG R2]],_xlpm.m,_xlfn.AGGREGATE(15,6,_xlpm.r/(_xlpm.r&lt;&gt;999.99),1),IFERROR(_xlpm.m,999.99))</f>
        <v>999.99</v>
      </c>
      <c r="S13">
        <v>123271</v>
      </c>
      <c r="T13" t="s">
        <v>636</v>
      </c>
      <c r="U13" t="s">
        <v>626</v>
      </c>
      <c r="V13" t="e">
        <f>_xlfn.XLOOKUP(Table123[[#This Row],[ACA Number]],Table127163143556797103[NAT Number],Table127163143556797103[run 1 points])</f>
        <v>#N/A</v>
      </c>
      <c r="W13" t="e">
        <f>_xlfn.XLOOKUP(Table123[[#This Row],[ACA Number]],Table127163143556797103[NAT Number],Table127163143556797103[run 2 points])</f>
        <v>#N/A</v>
      </c>
      <c r="X13" t="e">
        <f>_xlfn.XLOOKUP(Table123[[#This Row],[ACA Number]],Table127163143556797[NAT Number],Table127163143556797[run 1 points])</f>
        <v>#N/A</v>
      </c>
      <c r="Y13" t="e">
        <f>_xlfn.XLOOKUP(Table123[[#This Row],[ACA Number]],Table127163143556797[NAT Number],Table127163143556797[run 2 points])</f>
        <v>#N/A</v>
      </c>
      <c r="Z13" t="e">
        <f>_xlfn.XLOOKUP(Table123[[#This Row],[ACA Number]],Table1271631435567[NAT Number],Table1271631435567[run 1 points])</f>
        <v>#N/A</v>
      </c>
      <c r="AA13" t="e">
        <f>_xlfn.XLOOKUP(Table123[[#This Row],[ACA Number]],Table1271631435567[NAT Number],Table1271631435567[run 2 points])</f>
        <v>#N/A</v>
      </c>
      <c r="AB13" cm="1">
        <f t="array" ref="AB13">_xlfn.LET(_xlpm.r,Table123[[#This Row],[CM GS1 R1]:[MF GS R2]],_xlpm.m,_xlfn.AGGREGATE(15,6,_xlpm.r/(_xlpm.r&lt;&gt;999.99),1),IFERROR(_xlpm.m,999.99))</f>
        <v>999.99</v>
      </c>
      <c r="AD13">
        <v>123271</v>
      </c>
      <c r="AE13" t="s">
        <v>636</v>
      </c>
      <c r="AF13" t="s">
        <v>626</v>
      </c>
      <c r="AG13" t="e">
        <f>_xlfn.XLOOKUP(Table124[[#This Row],[ACA Number]],Table12[NAT Number],Table12[TT race points])</f>
        <v>#N/A</v>
      </c>
      <c r="AH13" t="e">
        <f>_xlfn.XLOOKUP(Table124[[#This Row],[ACA Number]],Table1225[NAT Number],Table1225[TT race points])</f>
        <v>#N/A</v>
      </c>
      <c r="AI13" t="e">
        <f>_xlfn.XLOOKUP(Table124[[#This Row],[ACA Number]],Table127163143556779[NAT Number],Table127163143556779[TT race points])</f>
        <v>#N/A</v>
      </c>
      <c r="AJ13" cm="1">
        <f t="array" ref="AJ13">_xlfn.LET(_xlpm.r,Table124[[#This Row],[PM SL1]:[MF SL]],_xlpm.m,_xlfn.AGGREGATE(15,6,_xlpm.r/(_xlpm.r&lt;&gt;999.99),1),IFERROR(_xlpm.m,999.99))</f>
        <v>999.99</v>
      </c>
      <c r="AK13" cm="1">
        <f t="array" ref="AK13">_xlfn.LET(_xlpm.r,Table124[[#This Row],[PM SL1]:[MF SL]],_xlpm.m,_xlfn.AGGREGATE(15,6,_xlpm.r/(_xlpm.r&lt;&gt;999.99),2),IFERROR(_xlpm.m,999.99))</f>
        <v>999.99</v>
      </c>
      <c r="AM13">
        <v>123271</v>
      </c>
      <c r="AN13" t="s">
        <v>636</v>
      </c>
      <c r="AO13" t="s">
        <v>626</v>
      </c>
      <c r="AP13" t="e">
        <f>_xlfn.XLOOKUP(Table125[[#This Row],[ACA Number]],Table127163143556797103[NAT Number],Table127163143556797103[TT race points])</f>
        <v>#N/A</v>
      </c>
      <c r="AQ13" t="e">
        <f>_xlfn.XLOOKUP(Table125[[#This Row],[ACA Number]],Table127163143556797[NAT Number],Table127163143556797[TT race points])</f>
        <v>#N/A</v>
      </c>
      <c r="AR13" t="e">
        <f>_xlfn.XLOOKUP(Table125[[#This Row],[ACA Number]],Table1271631435567[NAT Number],Table1271631435567[TT race points])</f>
        <v>#N/A</v>
      </c>
      <c r="AS13" cm="1">
        <f t="array" ref="AS13">_xlfn.LET(_xlpm.r,Table125[[#This Row],[CM GS1]:[MF GS]],_xlpm.m,_xlfn.AGGREGATE(15,6,_xlpm.r/(_xlpm.r&lt;&gt;999.99),1),IFERROR(_xlpm.m,999.99))</f>
        <v>999.99</v>
      </c>
      <c r="AT13" cm="1">
        <f t="array" ref="AT13">_xlfn.LET(_xlpm.r,Table125[[#This Row],[CM GS1]:[MF GS]],_xlpm.m,_xlfn.AGGREGATE(15,6,_xlpm.r/(_xlpm.r&lt;&gt;999.99),2),IFERROR(_xlpm.m,999.99))</f>
        <v>999.99</v>
      </c>
      <c r="AV13">
        <v>102777</v>
      </c>
      <c r="AW13" t="s">
        <v>630</v>
      </c>
      <c r="AX13" t="s">
        <v>626</v>
      </c>
      <c r="AY13">
        <f>_xlfn.XLOOKUP(Table126[[#This Row],[ACA Number]],Table121[ACA Number],Table121[Best 1 run SL race])</f>
        <v>38.26</v>
      </c>
      <c r="AZ13">
        <f>_xlfn.XLOOKUP(Table126[[#This Row],[ACA Number]],Table123[ACA Number],Table123[Best 1 Run])</f>
        <v>69.62</v>
      </c>
      <c r="BA13">
        <f>_xlfn.XLOOKUP(Table126[[#This Row],[ACA Number]],Table122[ACA Number],Table122[Best 1 run GS Race])</f>
        <v>277.52999999999997</v>
      </c>
      <c r="BB13">
        <f>_xlfn.XLOOKUP(Table126[[#This Row],[ACA Number]],Table124[ACA Number],Table124[Best result],)</f>
        <v>38.01</v>
      </c>
      <c r="BC13">
        <f>_xlfn.XLOOKUP(Table126[[#This Row],[ACA Number]],Table124[ACA Number],Table124[2nd Best Result])</f>
        <v>152.52000000000001</v>
      </c>
      <c r="BD13">
        <f>_xlfn.XLOOKUP(Table126[[#This Row],[ACA Number]],Table125[ACA Number],Table125[Best result])</f>
        <v>75.89</v>
      </c>
      <c r="BE13">
        <f>_xlfn.XLOOKUP(Table126[[#This Row],[ACA Number]],Table125[ACA Number],Table125[2nd Best Result])</f>
        <v>92.07</v>
      </c>
      <c r="BF13">
        <f t="shared" si="0"/>
        <v>743.89999999999986</v>
      </c>
      <c r="BG13">
        <f>_xlfn.RANK.EQ(Table126[[#This Row],[Total Points]],Table126[Total Points],1)</f>
        <v>11</v>
      </c>
    </row>
    <row r="14" spans="1:59" x14ac:dyDescent="0.3">
      <c r="A14">
        <v>104666</v>
      </c>
      <c r="B14" t="s">
        <v>637</v>
      </c>
      <c r="C14" t="s">
        <v>626</v>
      </c>
      <c r="D14">
        <f>_xlfn.XLOOKUP(Table121[[#This Row],[ACA Number]],Table12[NAT Number],Table12[run 1 points])</f>
        <v>149.80000000000001</v>
      </c>
      <c r="E14">
        <f>_xlfn.XLOOKUP(Table121[[#This Row],[ACA Number]],Table12[NAT Number],Table12[run 2 points])</f>
        <v>303.42</v>
      </c>
      <c r="F14">
        <f>_xlfn.XLOOKUP(Table121[[#This Row],[ACA Number]],Table1225[NAT Number],Table1225[run 1 points])</f>
        <v>242.86</v>
      </c>
      <c r="G14">
        <f>_xlfn.XLOOKUP(Table121[[#This Row],[ACA Number]],Table1225[NAT Number],Table1225[run 2 points])</f>
        <v>189.44</v>
      </c>
      <c r="H14">
        <f>_xlfn.XLOOKUP(Table121[[#This Row],[ACA Number]],Table127163143556779[NAT Number],Table127163143556779[run 1 points])</f>
        <v>50.81</v>
      </c>
      <c r="I14">
        <f>_xlfn.XLOOKUP(Table121[[#This Row],[ACA Number]],Table127163143556779[NAT Number],Table127163143556779[run 2 points])</f>
        <v>109.83</v>
      </c>
      <c r="J14" cm="1">
        <f t="array" ref="J14">_xlfn.LET(_xlpm.r,Table121[[#This Row],[PM SL1 R1]:[MF SL1 R2]],_xlpm.m,_xlfn.AGGREGATE(15,6,_xlpm.r/(_xlpm.r&lt;&gt;999.99),1),IFERROR(_xlpm.m,999.99))</f>
        <v>50.81</v>
      </c>
      <c r="L14">
        <v>104666</v>
      </c>
      <c r="M14" t="s">
        <v>637</v>
      </c>
      <c r="N14" t="s">
        <v>626</v>
      </c>
      <c r="O14">
        <f>_xlfn.XLOOKUP(Table122[[#This Row],[ACA Number]],Table1271631[NAT Number],Table1271631[run 1 points])</f>
        <v>194.65</v>
      </c>
      <c r="P14">
        <f>_xlfn.XLOOKUP(Table122[[#This Row],[ACA Number]],Table1221101934[NAT Number],Table1221101934[run 1 points])</f>
        <v>170.79</v>
      </c>
      <c r="Q14" cm="1">
        <f t="array" ref="Q14">_xlfn.LET(_xlpm.r,Table122[[#This Row],[CM SG R1]:[CM SG R2]],_xlpm.m,_xlfn.AGGREGATE(15,6,_xlpm.r/(_xlpm.r&lt;&gt;999.99),1),IFERROR(_xlpm.m,999.99))</f>
        <v>170.79</v>
      </c>
      <c r="S14">
        <v>104666</v>
      </c>
      <c r="T14" t="s">
        <v>637</v>
      </c>
      <c r="U14" t="s">
        <v>626</v>
      </c>
      <c r="V14">
        <f>_xlfn.XLOOKUP(Table123[[#This Row],[ACA Number]],Table127163143556797103[NAT Number],Table127163143556797103[run 1 points])</f>
        <v>43.76</v>
      </c>
      <c r="W14">
        <f>_xlfn.XLOOKUP(Table123[[#This Row],[ACA Number]],Table127163143556797103[NAT Number],Table127163143556797103[run 2 points])</f>
        <v>51.1</v>
      </c>
      <c r="X14">
        <f>_xlfn.XLOOKUP(Table123[[#This Row],[ACA Number]],Table127163143556797[NAT Number],Table127163143556797[run 1 points])</f>
        <v>181.45</v>
      </c>
      <c r="Y14">
        <f>_xlfn.XLOOKUP(Table123[[#This Row],[ACA Number]],Table127163143556797[NAT Number],Table127163143556797[run 2 points])</f>
        <v>186.06</v>
      </c>
      <c r="Z14">
        <f>_xlfn.XLOOKUP(Table123[[#This Row],[ACA Number]],Table1271631435567[NAT Number],Table1271631435567[run 1 points])</f>
        <v>43.05</v>
      </c>
      <c r="AA14">
        <f>_xlfn.XLOOKUP(Table123[[#This Row],[ACA Number]],Table1271631435567[NAT Number],Table1271631435567[run 2 points])</f>
        <v>52.17</v>
      </c>
      <c r="AB14" cm="1">
        <f t="array" ref="AB14">_xlfn.LET(_xlpm.r,Table123[[#This Row],[CM GS1 R1]:[MF GS R2]],_xlpm.m,_xlfn.AGGREGATE(15,6,_xlpm.r/(_xlpm.r&lt;&gt;999.99),1),IFERROR(_xlpm.m,999.99))</f>
        <v>43.05</v>
      </c>
      <c r="AD14">
        <v>104666</v>
      </c>
      <c r="AE14" t="s">
        <v>637</v>
      </c>
      <c r="AF14" t="s">
        <v>626</v>
      </c>
      <c r="AG14">
        <f>_xlfn.XLOOKUP(Table124[[#This Row],[ACA Number]],Table12[NAT Number],Table12[TT race points])</f>
        <v>227.71</v>
      </c>
      <c r="AH14">
        <f>_xlfn.XLOOKUP(Table124[[#This Row],[ACA Number]],Table1225[NAT Number],Table1225[TT race points])</f>
        <v>215.69</v>
      </c>
      <c r="AI14">
        <f>_xlfn.XLOOKUP(Table124[[#This Row],[ACA Number]],Table127163143556779[NAT Number],Table127163143556779[TT race points])</f>
        <v>78.39</v>
      </c>
      <c r="AJ14" cm="1">
        <f t="array" ref="AJ14">_xlfn.LET(_xlpm.r,Table124[[#This Row],[PM SL1]:[MF SL]],_xlpm.m,_xlfn.AGGREGATE(15,6,_xlpm.r/(_xlpm.r&lt;&gt;999.99),1),IFERROR(_xlpm.m,999.99))</f>
        <v>78.39</v>
      </c>
      <c r="AK14" cm="1">
        <f t="array" ref="AK14">_xlfn.LET(_xlpm.r,Table124[[#This Row],[PM SL1]:[MF SL]],_xlpm.m,_xlfn.AGGREGATE(15,6,_xlpm.r/(_xlpm.r&lt;&gt;999.99),2),IFERROR(_xlpm.m,999.99))</f>
        <v>215.69</v>
      </c>
      <c r="AM14">
        <v>104666</v>
      </c>
      <c r="AN14" t="s">
        <v>637</v>
      </c>
      <c r="AO14" t="s">
        <v>626</v>
      </c>
      <c r="AP14">
        <f>_xlfn.XLOOKUP(Table125[[#This Row],[ACA Number]],Table127163143556797103[NAT Number],Table127163143556797103[TT race points])</f>
        <v>12.66</v>
      </c>
      <c r="AQ14">
        <f>_xlfn.XLOOKUP(Table125[[#This Row],[ACA Number]],Table127163143556797[NAT Number],Table127163143556797[TT race points])</f>
        <v>183.87</v>
      </c>
      <c r="AR14">
        <f>_xlfn.XLOOKUP(Table125[[#This Row],[ACA Number]],Table1271631435567[NAT Number],Table1271631435567[TT race points])</f>
        <v>47.63</v>
      </c>
      <c r="AS14" cm="1">
        <f t="array" ref="AS14">_xlfn.LET(_xlpm.r,Table125[[#This Row],[CM GS1]:[MF GS]],_xlpm.m,_xlfn.AGGREGATE(15,6,_xlpm.r/(_xlpm.r&lt;&gt;999.99),1),IFERROR(_xlpm.m,999.99))</f>
        <v>12.66</v>
      </c>
      <c r="AT14" cm="1">
        <f t="array" ref="AT14">_xlfn.LET(_xlpm.r,Table125[[#This Row],[CM GS1]:[MF GS]],_xlpm.m,_xlfn.AGGREGATE(15,6,_xlpm.r/(_xlpm.r&lt;&gt;999.99),2),IFERROR(_xlpm.m,999.99))</f>
        <v>47.63</v>
      </c>
      <c r="AV14">
        <v>118512</v>
      </c>
      <c r="AW14" t="s">
        <v>644</v>
      </c>
      <c r="AX14" t="s">
        <v>626</v>
      </c>
      <c r="AY14">
        <f>_xlfn.XLOOKUP(Table126[[#This Row],[ACA Number]],Table121[ACA Number],Table121[Best 1 run SL race])</f>
        <v>133.69999999999999</v>
      </c>
      <c r="AZ14">
        <f>_xlfn.XLOOKUP(Table126[[#This Row],[ACA Number]],Table123[ACA Number],Table123[Best 1 Run])</f>
        <v>72.239999999999995</v>
      </c>
      <c r="BA14">
        <f>_xlfn.XLOOKUP(Table126[[#This Row],[ACA Number]],Table122[ACA Number],Table122[Best 1 run GS Race])</f>
        <v>308.68</v>
      </c>
      <c r="BB14">
        <f>_xlfn.XLOOKUP(Table126[[#This Row],[ACA Number]],Table124[ACA Number],Table124[Best result],)</f>
        <v>133.4</v>
      </c>
      <c r="BC14">
        <f>_xlfn.XLOOKUP(Table126[[#This Row],[ACA Number]],Table124[ACA Number],Table124[2nd Best Result])</f>
        <v>210.13</v>
      </c>
      <c r="BD14">
        <f>_xlfn.XLOOKUP(Table126[[#This Row],[ACA Number]],Table125[ACA Number],Table125[Best result])</f>
        <v>50.69</v>
      </c>
      <c r="BE14">
        <f>_xlfn.XLOOKUP(Table126[[#This Row],[ACA Number]],Table125[ACA Number],Table125[2nd Best Result])</f>
        <v>98.19</v>
      </c>
      <c r="BF14">
        <f t="shared" si="0"/>
        <v>1007.03</v>
      </c>
      <c r="BG14">
        <f>_xlfn.RANK.EQ(Table126[[#This Row],[Total Points]],Table126[Total Points],1)</f>
        <v>12</v>
      </c>
    </row>
    <row r="15" spans="1:59" x14ac:dyDescent="0.3">
      <c r="A15">
        <v>121965</v>
      </c>
      <c r="B15" t="s">
        <v>641</v>
      </c>
      <c r="C15" t="s">
        <v>626</v>
      </c>
      <c r="D15">
        <f>_xlfn.XLOOKUP(Table121[[#This Row],[ACA Number]],Table12[NAT Number],Table12[run 1 points])</f>
        <v>169.43</v>
      </c>
      <c r="E15">
        <f>_xlfn.XLOOKUP(Table121[[#This Row],[ACA Number]],Table12[NAT Number],Table12[run 2 points])</f>
        <v>999.99</v>
      </c>
      <c r="F15">
        <f>_xlfn.XLOOKUP(Table121[[#This Row],[ACA Number]],Table1225[NAT Number],Table1225[run 1 points])</f>
        <v>187.22</v>
      </c>
      <c r="G15">
        <f>_xlfn.XLOOKUP(Table121[[#This Row],[ACA Number]],Table1225[NAT Number],Table1225[run 2 points])</f>
        <v>187.78</v>
      </c>
      <c r="H15">
        <f>_xlfn.XLOOKUP(Table121[[#This Row],[ACA Number]],Table127163143556779[NAT Number],Table127163143556779[run 1 points])</f>
        <v>159.34</v>
      </c>
      <c r="I15">
        <f>_xlfn.XLOOKUP(Table121[[#This Row],[ACA Number]],Table127163143556779[NAT Number],Table127163143556779[run 2 points])</f>
        <v>999.99</v>
      </c>
      <c r="J15" cm="1">
        <f t="array" ref="J15">_xlfn.LET(_xlpm.r,Table121[[#This Row],[PM SL1 R1]:[MF SL1 R2]],_xlpm.m,_xlfn.AGGREGATE(15,6,_xlpm.r/(_xlpm.r&lt;&gt;999.99),1),IFERROR(_xlpm.m,999.99))</f>
        <v>159.34</v>
      </c>
      <c r="L15">
        <v>126973</v>
      </c>
      <c r="M15" t="s">
        <v>638</v>
      </c>
      <c r="N15" t="s">
        <v>626</v>
      </c>
      <c r="O15" t="e">
        <f>_xlfn.XLOOKUP(Table122[[#This Row],[ACA Number]],Table1271631[NAT Number],Table1271631[run 1 points])</f>
        <v>#N/A</v>
      </c>
      <c r="P15" t="e">
        <f>_xlfn.XLOOKUP(Table122[[#This Row],[ACA Number]],Table1221101934[NAT Number],Table1221101934[run 1 points])</f>
        <v>#N/A</v>
      </c>
      <c r="Q15" cm="1">
        <f t="array" ref="Q15">_xlfn.LET(_xlpm.r,Table122[[#This Row],[CM SG R1]:[CM SG R2]],_xlpm.m,_xlfn.AGGREGATE(15,6,_xlpm.r/(_xlpm.r&lt;&gt;999.99),1),IFERROR(_xlpm.m,999.99))</f>
        <v>999.99</v>
      </c>
      <c r="S15">
        <v>126973</v>
      </c>
      <c r="T15" t="s">
        <v>638</v>
      </c>
      <c r="U15" t="s">
        <v>626</v>
      </c>
      <c r="V15" t="e">
        <f>_xlfn.XLOOKUP(Table123[[#This Row],[ACA Number]],Table127163143556797103[NAT Number],Table127163143556797103[run 1 points])</f>
        <v>#N/A</v>
      </c>
      <c r="W15" t="e">
        <f>_xlfn.XLOOKUP(Table123[[#This Row],[ACA Number]],Table127163143556797103[NAT Number],Table127163143556797103[run 2 points])</f>
        <v>#N/A</v>
      </c>
      <c r="X15" t="e">
        <f>_xlfn.XLOOKUP(Table123[[#This Row],[ACA Number]],Table127163143556797[NAT Number],Table127163143556797[run 1 points])</f>
        <v>#N/A</v>
      </c>
      <c r="Y15" t="e">
        <f>_xlfn.XLOOKUP(Table123[[#This Row],[ACA Number]],Table127163143556797[NAT Number],Table127163143556797[run 2 points])</f>
        <v>#N/A</v>
      </c>
      <c r="Z15" t="e">
        <f>_xlfn.XLOOKUP(Table123[[#This Row],[ACA Number]],Table1271631435567[NAT Number],Table1271631435567[run 1 points])</f>
        <v>#N/A</v>
      </c>
      <c r="AA15" t="e">
        <f>_xlfn.XLOOKUP(Table123[[#This Row],[ACA Number]],Table1271631435567[NAT Number],Table1271631435567[run 2 points])</f>
        <v>#N/A</v>
      </c>
      <c r="AB15" cm="1">
        <f t="array" ref="AB15">_xlfn.LET(_xlpm.r,Table123[[#This Row],[CM GS1 R1]:[MF GS R2]],_xlpm.m,_xlfn.AGGREGATE(15,6,_xlpm.r/(_xlpm.r&lt;&gt;999.99),1),IFERROR(_xlpm.m,999.99))</f>
        <v>999.99</v>
      </c>
      <c r="AD15">
        <v>126973</v>
      </c>
      <c r="AE15" t="s">
        <v>638</v>
      </c>
      <c r="AF15" t="s">
        <v>626</v>
      </c>
      <c r="AG15" t="e">
        <f>_xlfn.XLOOKUP(Table124[[#This Row],[ACA Number]],Table12[NAT Number],Table12[TT race points])</f>
        <v>#N/A</v>
      </c>
      <c r="AH15" t="e">
        <f>_xlfn.XLOOKUP(Table124[[#This Row],[ACA Number]],Table1225[NAT Number],Table1225[TT race points])</f>
        <v>#N/A</v>
      </c>
      <c r="AI15" t="e">
        <f>_xlfn.XLOOKUP(Table124[[#This Row],[ACA Number]],Table127163143556779[NAT Number],Table127163143556779[TT race points])</f>
        <v>#N/A</v>
      </c>
      <c r="AJ15" cm="1">
        <f t="array" ref="AJ15">_xlfn.LET(_xlpm.r,Table124[[#This Row],[PM SL1]:[MF SL]],_xlpm.m,_xlfn.AGGREGATE(15,6,_xlpm.r/(_xlpm.r&lt;&gt;999.99),1),IFERROR(_xlpm.m,999.99))</f>
        <v>999.99</v>
      </c>
      <c r="AK15" cm="1">
        <f t="array" ref="AK15">_xlfn.LET(_xlpm.r,Table124[[#This Row],[PM SL1]:[MF SL]],_xlpm.m,_xlfn.AGGREGATE(15,6,_xlpm.r/(_xlpm.r&lt;&gt;999.99),2),IFERROR(_xlpm.m,999.99))</f>
        <v>999.99</v>
      </c>
      <c r="AM15">
        <v>126973</v>
      </c>
      <c r="AN15" t="s">
        <v>638</v>
      </c>
      <c r="AO15" t="s">
        <v>626</v>
      </c>
      <c r="AP15" t="e">
        <f>_xlfn.XLOOKUP(Table125[[#This Row],[ACA Number]],Table127163143556797103[NAT Number],Table127163143556797103[TT race points])</f>
        <v>#N/A</v>
      </c>
      <c r="AQ15" t="e">
        <f>_xlfn.XLOOKUP(Table125[[#This Row],[ACA Number]],Table127163143556797[NAT Number],Table127163143556797[TT race points])</f>
        <v>#N/A</v>
      </c>
      <c r="AR15" t="e">
        <f>_xlfn.XLOOKUP(Table125[[#This Row],[ACA Number]],Table1271631435567[NAT Number],Table1271631435567[TT race points])</f>
        <v>#N/A</v>
      </c>
      <c r="AS15" cm="1">
        <f t="array" ref="AS15">_xlfn.LET(_xlpm.r,Table125[[#This Row],[CM GS1]:[MF GS]],_xlpm.m,_xlfn.AGGREGATE(15,6,_xlpm.r/(_xlpm.r&lt;&gt;999.99),1),IFERROR(_xlpm.m,999.99))</f>
        <v>999.99</v>
      </c>
      <c r="AT15" cm="1">
        <f t="array" ref="AT15">_xlfn.LET(_xlpm.r,Table125[[#This Row],[CM GS1]:[MF GS]],_xlpm.m,_xlfn.AGGREGATE(15,6,_xlpm.r/(_xlpm.r&lt;&gt;999.99),2),IFERROR(_xlpm.m,999.99))</f>
        <v>999.99</v>
      </c>
      <c r="AV15">
        <v>102776</v>
      </c>
      <c r="AW15" t="s">
        <v>629</v>
      </c>
      <c r="AX15" t="s">
        <v>626</v>
      </c>
      <c r="AY15">
        <f>_xlfn.XLOOKUP(Table126[[#This Row],[ACA Number]],Table121[ACA Number],Table121[Best 1 run SL race])</f>
        <v>22.54</v>
      </c>
      <c r="AZ15">
        <f>_xlfn.XLOOKUP(Table126[[#This Row],[ACA Number]],Table123[ACA Number],Table123[Best 1 Run])</f>
        <v>27.49</v>
      </c>
      <c r="BA15">
        <f>_xlfn.XLOOKUP(Table126[[#This Row],[ACA Number]],Table122[ACA Number],Table122[Best 1 run GS Race])</f>
        <v>259.83999999999997</v>
      </c>
      <c r="BB15">
        <f>_xlfn.XLOOKUP(Table126[[#This Row],[ACA Number]],Table124[ACA Number],Table124[Best result],)</f>
        <v>30.29</v>
      </c>
      <c r="BC15">
        <f>_xlfn.XLOOKUP(Table126[[#This Row],[ACA Number]],Table124[ACA Number],Table124[2nd Best Result])</f>
        <v>999.99</v>
      </c>
      <c r="BD15">
        <f>_xlfn.XLOOKUP(Table126[[#This Row],[ACA Number]],Table125[ACA Number],Table125[Best result])</f>
        <v>32.799999999999997</v>
      </c>
      <c r="BE15">
        <f>_xlfn.XLOOKUP(Table126[[#This Row],[ACA Number]],Table125[ACA Number],Table125[2nd Best Result])</f>
        <v>40.33</v>
      </c>
      <c r="BF15">
        <f t="shared" si="0"/>
        <v>1413.28</v>
      </c>
      <c r="BG15">
        <f>_xlfn.RANK.EQ(Table126[[#This Row],[Total Points]],Table126[Total Points],1)</f>
        <v>13</v>
      </c>
    </row>
    <row r="16" spans="1:59" x14ac:dyDescent="0.3">
      <c r="A16">
        <v>118512</v>
      </c>
      <c r="B16" t="s">
        <v>644</v>
      </c>
      <c r="C16" t="s">
        <v>626</v>
      </c>
      <c r="D16">
        <f>_xlfn.XLOOKUP(Table121[[#This Row],[ACA Number]],Table12[NAT Number],Table12[run 1 points])</f>
        <v>176.79</v>
      </c>
      <c r="E16">
        <f>_xlfn.XLOOKUP(Table121[[#This Row],[ACA Number]],Table12[NAT Number],Table12[run 2 points])</f>
        <v>999.99</v>
      </c>
      <c r="F16">
        <f>_xlfn.XLOOKUP(Table121[[#This Row],[ACA Number]],Table1225[NAT Number],Table1225[run 1 points])</f>
        <v>189.57</v>
      </c>
      <c r="G16">
        <f>_xlfn.XLOOKUP(Table121[[#This Row],[ACA Number]],Table1225[NAT Number],Table1225[run 2 points])</f>
        <v>229.98</v>
      </c>
      <c r="H16">
        <f>_xlfn.XLOOKUP(Table121[[#This Row],[ACA Number]],Table127163143556779[NAT Number],Table127163143556779[run 1 points])</f>
        <v>133.69999999999999</v>
      </c>
      <c r="I16">
        <f>_xlfn.XLOOKUP(Table121[[#This Row],[ACA Number]],Table127163143556779[NAT Number],Table127163143556779[run 2 points])</f>
        <v>140.16</v>
      </c>
      <c r="J16" cm="1">
        <f t="array" ref="J16">_xlfn.LET(_xlpm.r,Table121[[#This Row],[PM SL1 R1]:[MF SL1 R2]],_xlpm.m,_xlfn.AGGREGATE(15,6,_xlpm.r/(_xlpm.r&lt;&gt;999.99),1),IFERROR(_xlpm.m,999.99))</f>
        <v>133.69999999999999</v>
      </c>
      <c r="L16">
        <v>93764</v>
      </c>
      <c r="M16" t="s">
        <v>639</v>
      </c>
      <c r="N16" t="s">
        <v>626</v>
      </c>
      <c r="O16">
        <f>_xlfn.XLOOKUP(Table122[[#This Row],[ACA Number]],Table1271631[NAT Number],Table1271631[run 1 points])</f>
        <v>315.02</v>
      </c>
      <c r="P16">
        <f>_xlfn.XLOOKUP(Table122[[#This Row],[ACA Number]],Table1221101934[NAT Number],Table1221101934[run 1 points])</f>
        <v>276.01</v>
      </c>
      <c r="Q16" cm="1">
        <f t="array" ref="Q16">_xlfn.LET(_xlpm.r,Table122[[#This Row],[CM SG R1]:[CM SG R2]],_xlpm.m,_xlfn.AGGREGATE(15,6,_xlpm.r/(_xlpm.r&lt;&gt;999.99),1),IFERROR(_xlpm.m,999.99))</f>
        <v>276.01</v>
      </c>
      <c r="S16">
        <v>93764</v>
      </c>
      <c r="T16" t="s">
        <v>639</v>
      </c>
      <c r="U16" t="s">
        <v>626</v>
      </c>
      <c r="V16">
        <f>_xlfn.XLOOKUP(Table123[[#This Row],[ACA Number]],Table127163143556797103[NAT Number],Table127163143556797103[run 1 points])</f>
        <v>65.38</v>
      </c>
      <c r="W16">
        <f>_xlfn.XLOOKUP(Table123[[#This Row],[ACA Number]],Table127163143556797103[NAT Number],Table127163143556797103[run 2 points])</f>
        <v>140.77000000000001</v>
      </c>
      <c r="X16">
        <f>_xlfn.XLOOKUP(Table123[[#This Row],[ACA Number]],Table127163143556797[NAT Number],Table127163143556797[run 1 points])</f>
        <v>999.99</v>
      </c>
      <c r="Y16">
        <f>_xlfn.XLOOKUP(Table123[[#This Row],[ACA Number]],Table127163143556797[NAT Number],Table127163143556797[run 2 points])</f>
        <v>999.99</v>
      </c>
      <c r="Z16">
        <f>_xlfn.XLOOKUP(Table123[[#This Row],[ACA Number]],Table1271631435567[NAT Number],Table1271631435567[run 1 points])</f>
        <v>96.86</v>
      </c>
      <c r="AA16">
        <f>_xlfn.XLOOKUP(Table123[[#This Row],[ACA Number]],Table1271631435567[NAT Number],Table1271631435567[run 2 points])</f>
        <v>93.5</v>
      </c>
      <c r="AB16" cm="1">
        <f t="array" ref="AB16">_xlfn.LET(_xlpm.r,Table123[[#This Row],[CM GS1 R1]:[MF GS R2]],_xlpm.m,_xlfn.AGGREGATE(15,6,_xlpm.r/(_xlpm.r&lt;&gt;999.99),1),IFERROR(_xlpm.m,999.99))</f>
        <v>65.38</v>
      </c>
      <c r="AD16">
        <v>93764</v>
      </c>
      <c r="AE16" t="s">
        <v>639</v>
      </c>
      <c r="AF16" t="s">
        <v>626</v>
      </c>
      <c r="AG16">
        <f>_xlfn.XLOOKUP(Table124[[#This Row],[ACA Number]],Table12[NAT Number],Table12[TT race points])</f>
        <v>78.16</v>
      </c>
      <c r="AH16">
        <f>_xlfn.XLOOKUP(Table124[[#This Row],[ACA Number]],Table1225[NAT Number],Table1225[TT race points])</f>
        <v>999.99</v>
      </c>
      <c r="AI16">
        <f>_xlfn.XLOOKUP(Table124[[#This Row],[ACA Number]],Table127163143556779[NAT Number],Table127163143556779[TT race points])</f>
        <v>13.06</v>
      </c>
      <c r="AJ16" cm="1">
        <f t="array" ref="AJ16">_xlfn.LET(_xlpm.r,Table124[[#This Row],[PM SL1]:[MF SL]],_xlpm.m,_xlfn.AGGREGATE(15,6,_xlpm.r/(_xlpm.r&lt;&gt;999.99),1),IFERROR(_xlpm.m,999.99))</f>
        <v>13.06</v>
      </c>
      <c r="AK16" cm="1">
        <f t="array" ref="AK16">_xlfn.LET(_xlpm.r,Table124[[#This Row],[PM SL1]:[MF SL]],_xlpm.m,_xlfn.AGGREGATE(15,6,_xlpm.r/(_xlpm.r&lt;&gt;999.99),2),IFERROR(_xlpm.m,999.99))</f>
        <v>78.16</v>
      </c>
      <c r="AM16">
        <v>93764</v>
      </c>
      <c r="AN16" t="s">
        <v>639</v>
      </c>
      <c r="AO16" t="s">
        <v>626</v>
      </c>
      <c r="AP16">
        <f>_xlfn.XLOOKUP(Table125[[#This Row],[ACA Number]],Table127163143556797103[NAT Number],Table127163143556797103[TT race points])</f>
        <v>64.92</v>
      </c>
      <c r="AQ16">
        <f>_xlfn.XLOOKUP(Table125[[#This Row],[ACA Number]],Table127163143556797[NAT Number],Table127163143556797[TT race points])</f>
        <v>999.99</v>
      </c>
      <c r="AR16">
        <f>_xlfn.XLOOKUP(Table125[[#This Row],[ACA Number]],Table1271631435567[NAT Number],Table1271631435567[TT race points])</f>
        <v>95.17</v>
      </c>
      <c r="AS16" cm="1">
        <f t="array" ref="AS16">_xlfn.LET(_xlpm.r,Table125[[#This Row],[CM GS1]:[MF GS]],_xlpm.m,_xlfn.AGGREGATE(15,6,_xlpm.r/(_xlpm.r&lt;&gt;999.99),1),IFERROR(_xlpm.m,999.99))</f>
        <v>64.92</v>
      </c>
      <c r="AT16" cm="1">
        <f t="array" ref="AT16">_xlfn.LET(_xlpm.r,Table125[[#This Row],[CM GS1]:[MF GS]],_xlpm.m,_xlfn.AGGREGATE(15,6,_xlpm.r/(_xlpm.r&lt;&gt;999.99),2),IFERROR(_xlpm.m,999.99))</f>
        <v>95.17</v>
      </c>
      <c r="AV16">
        <v>117000</v>
      </c>
      <c r="AW16" t="s">
        <v>633</v>
      </c>
      <c r="AX16" t="s">
        <v>626</v>
      </c>
      <c r="AY16">
        <f>_xlfn.XLOOKUP(Table126[[#This Row],[ACA Number]],Table121[ACA Number],Table121[Best 1 run SL race])</f>
        <v>266.95</v>
      </c>
      <c r="AZ16">
        <f>_xlfn.XLOOKUP(Table126[[#This Row],[ACA Number]],Table123[ACA Number],Table123[Best 1 Run])</f>
        <v>219.5</v>
      </c>
      <c r="BA16">
        <f>_xlfn.XLOOKUP(Table126[[#This Row],[ACA Number]],Table122[ACA Number],Table122[Best 1 run GS Race])</f>
        <v>398.84</v>
      </c>
      <c r="BB16">
        <f>_xlfn.XLOOKUP(Table126[[#This Row],[ACA Number]],Table124[ACA Number],Table124[Best result],)</f>
        <v>269.17</v>
      </c>
      <c r="BC16">
        <f>_xlfn.XLOOKUP(Table126[[#This Row],[ACA Number]],Table124[ACA Number],Table124[2nd Best Result])</f>
        <v>284.41000000000003</v>
      </c>
      <c r="BD16">
        <f>_xlfn.XLOOKUP(Table126[[#This Row],[ACA Number]],Table125[ACA Number],Table125[Best result])</f>
        <v>216.81</v>
      </c>
      <c r="BE16">
        <f>_xlfn.XLOOKUP(Table126[[#This Row],[ACA Number]],Table125[ACA Number],Table125[2nd Best Result])</f>
        <v>249.88</v>
      </c>
      <c r="BF16">
        <f t="shared" si="0"/>
        <v>1905.56</v>
      </c>
      <c r="BG16">
        <f>_xlfn.RANK.EQ(Table126[[#This Row],[Total Points]],Table126[Total Points],1)</f>
        <v>14</v>
      </c>
    </row>
    <row r="17" spans="1:59" x14ac:dyDescent="0.3">
      <c r="A17">
        <v>107308</v>
      </c>
      <c r="B17" t="s">
        <v>642</v>
      </c>
      <c r="C17" t="s">
        <v>626</v>
      </c>
      <c r="D17">
        <f>_xlfn.XLOOKUP(Table121[[#This Row],[ACA Number]],Table12[NAT Number],Table12[run 1 points])</f>
        <v>250.23</v>
      </c>
      <c r="E17">
        <f>_xlfn.XLOOKUP(Table121[[#This Row],[ACA Number]],Table12[NAT Number],Table12[run 2 points])</f>
        <v>312.13</v>
      </c>
      <c r="F17">
        <f>_xlfn.XLOOKUP(Table121[[#This Row],[ACA Number]],Table1225[NAT Number],Table1225[run 1 points])</f>
        <v>999.99</v>
      </c>
      <c r="G17">
        <f>_xlfn.XLOOKUP(Table121[[#This Row],[ACA Number]],Table1225[NAT Number],Table1225[run 2 points])</f>
        <v>999.99</v>
      </c>
      <c r="H17">
        <f>_xlfn.XLOOKUP(Table121[[#This Row],[ACA Number]],Table127163143556779[NAT Number],Table127163143556779[run 1 points])</f>
        <v>184.98</v>
      </c>
      <c r="I17">
        <f>_xlfn.XLOOKUP(Table121[[#This Row],[ACA Number]],Table127163143556779[NAT Number],Table127163143556779[run 2 points])</f>
        <v>141.58000000000001</v>
      </c>
      <c r="J17" cm="1">
        <f t="array" ref="J17">_xlfn.LET(_xlpm.r,Table121[[#This Row],[PM SL1 R1]:[MF SL1 R2]],_xlpm.m,_xlfn.AGGREGATE(15,6,_xlpm.r/(_xlpm.r&lt;&gt;999.99),1),IFERROR(_xlpm.m,999.99))</f>
        <v>141.58000000000001</v>
      </c>
      <c r="L17">
        <v>117955</v>
      </c>
      <c r="M17" t="s">
        <v>640</v>
      </c>
      <c r="N17" t="s">
        <v>626</v>
      </c>
      <c r="O17" t="e">
        <f>_xlfn.XLOOKUP(Table122[[#This Row],[ACA Number]],Table1271631[NAT Number],Table1271631[run 1 points])</f>
        <v>#N/A</v>
      </c>
      <c r="P17" t="e">
        <f>_xlfn.XLOOKUP(Table122[[#This Row],[ACA Number]],Table1221101934[NAT Number],Table1221101934[run 1 points])</f>
        <v>#N/A</v>
      </c>
      <c r="Q17" cm="1">
        <f t="array" ref="Q17">_xlfn.LET(_xlpm.r,Table122[[#This Row],[CM SG R1]:[CM SG R2]],_xlpm.m,_xlfn.AGGREGATE(15,6,_xlpm.r/(_xlpm.r&lt;&gt;999.99),1),IFERROR(_xlpm.m,999.99))</f>
        <v>999.99</v>
      </c>
      <c r="S17">
        <v>117955</v>
      </c>
      <c r="T17" t="s">
        <v>640</v>
      </c>
      <c r="U17" t="s">
        <v>626</v>
      </c>
      <c r="V17">
        <f>_xlfn.XLOOKUP(Table123[[#This Row],[ACA Number]],Table127163143556797103[NAT Number],Table127163143556797103[run 1 points])</f>
        <v>307.88</v>
      </c>
      <c r="W17">
        <f>_xlfn.XLOOKUP(Table123[[#This Row],[ACA Number]],Table127163143556797103[NAT Number],Table127163143556797103[run 2 points])</f>
        <v>275.13</v>
      </c>
      <c r="X17">
        <f>_xlfn.XLOOKUP(Table123[[#This Row],[ACA Number]],Table127163143556797[NAT Number],Table127163143556797[run 1 points])</f>
        <v>999.99</v>
      </c>
      <c r="Y17">
        <f>_xlfn.XLOOKUP(Table123[[#This Row],[ACA Number]],Table127163143556797[NAT Number],Table127163143556797[run 2 points])</f>
        <v>999.99</v>
      </c>
      <c r="Z17" t="e">
        <f>_xlfn.XLOOKUP(Table123[[#This Row],[ACA Number]],Table1271631435567[NAT Number],Table1271631435567[run 1 points])</f>
        <v>#N/A</v>
      </c>
      <c r="AA17" t="e">
        <f>_xlfn.XLOOKUP(Table123[[#This Row],[ACA Number]],Table1271631435567[NAT Number],Table1271631435567[run 2 points])</f>
        <v>#N/A</v>
      </c>
      <c r="AB17" cm="1">
        <f t="array" ref="AB17">_xlfn.LET(_xlpm.r,Table123[[#This Row],[CM GS1 R1]:[MF GS R2]],_xlpm.m,_xlfn.AGGREGATE(15,6,_xlpm.r/(_xlpm.r&lt;&gt;999.99),1),IFERROR(_xlpm.m,999.99))</f>
        <v>275.13</v>
      </c>
      <c r="AD17">
        <v>117955</v>
      </c>
      <c r="AE17" t="s">
        <v>640</v>
      </c>
      <c r="AF17" t="s">
        <v>626</v>
      </c>
      <c r="AG17">
        <f>_xlfn.XLOOKUP(Table124[[#This Row],[ACA Number]],Table12[NAT Number],Table12[TT race points])</f>
        <v>999.99</v>
      </c>
      <c r="AH17">
        <f>_xlfn.XLOOKUP(Table124[[#This Row],[ACA Number]],Table1225[NAT Number],Table1225[TT race points])</f>
        <v>437.86</v>
      </c>
      <c r="AI17" t="e">
        <f>_xlfn.XLOOKUP(Table124[[#This Row],[ACA Number]],Table127163143556779[NAT Number],Table127163143556779[TT race points])</f>
        <v>#N/A</v>
      </c>
      <c r="AJ17" cm="1">
        <f t="array" ref="AJ17">_xlfn.LET(_xlpm.r,Table124[[#This Row],[PM SL1]:[MF SL]],_xlpm.m,_xlfn.AGGREGATE(15,6,_xlpm.r/(_xlpm.r&lt;&gt;999.99),1),IFERROR(_xlpm.m,999.99))</f>
        <v>437.86</v>
      </c>
      <c r="AK17" cm="1">
        <f t="array" ref="AK17">_xlfn.LET(_xlpm.r,Table124[[#This Row],[PM SL1]:[MF SL]],_xlpm.m,_xlfn.AGGREGATE(15,6,_xlpm.r/(_xlpm.r&lt;&gt;999.99),2),IFERROR(_xlpm.m,999.99))</f>
        <v>999.99</v>
      </c>
      <c r="AM17">
        <v>117955</v>
      </c>
      <c r="AN17" t="s">
        <v>640</v>
      </c>
      <c r="AO17" t="s">
        <v>626</v>
      </c>
      <c r="AP17">
        <f>_xlfn.XLOOKUP(Table125[[#This Row],[ACA Number]],Table127163143556797103[NAT Number],Table127163143556797103[TT race points])</f>
        <v>249.66</v>
      </c>
      <c r="AQ17">
        <f>_xlfn.XLOOKUP(Table125[[#This Row],[ACA Number]],Table127163143556797[NAT Number],Table127163143556797[TT race points])</f>
        <v>999.99</v>
      </c>
      <c r="AR17" t="e">
        <f>_xlfn.XLOOKUP(Table125[[#This Row],[ACA Number]],Table1271631435567[NAT Number],Table1271631435567[TT race points])</f>
        <v>#N/A</v>
      </c>
      <c r="AS17" cm="1">
        <f t="array" ref="AS17">_xlfn.LET(_xlpm.r,Table125[[#This Row],[CM GS1]:[MF GS]],_xlpm.m,_xlfn.AGGREGATE(15,6,_xlpm.r/(_xlpm.r&lt;&gt;999.99),1),IFERROR(_xlpm.m,999.99))</f>
        <v>249.66</v>
      </c>
      <c r="AT17" cm="1">
        <f t="array" ref="AT17">_xlfn.LET(_xlpm.r,Table125[[#This Row],[CM GS1]:[MF GS]],_xlpm.m,_xlfn.AGGREGATE(15,6,_xlpm.r/(_xlpm.r&lt;&gt;999.99),2),IFERROR(_xlpm.m,999.99))</f>
        <v>999.99</v>
      </c>
      <c r="AV17">
        <v>107308</v>
      </c>
      <c r="AW17" t="s">
        <v>642</v>
      </c>
      <c r="AX17" t="s">
        <v>626</v>
      </c>
      <c r="AY17">
        <f>_xlfn.XLOOKUP(Table126[[#This Row],[ACA Number]],Table121[ACA Number],Table121[Best 1 run SL race])</f>
        <v>141.58000000000001</v>
      </c>
      <c r="AZ17">
        <f>_xlfn.XLOOKUP(Table126[[#This Row],[ACA Number]],Table123[ACA Number],Table123[Best 1 Run])</f>
        <v>124.07</v>
      </c>
      <c r="BA17">
        <f>_xlfn.XLOOKUP(Table126[[#This Row],[ACA Number]],Table122[ACA Number],Table122[Best 1 run GS Race])</f>
        <v>999.99</v>
      </c>
      <c r="BB17">
        <f>_xlfn.XLOOKUP(Table126[[#This Row],[ACA Number]],Table124[ACA Number],Table124[Best result],)</f>
        <v>158.34</v>
      </c>
      <c r="BC17">
        <f>_xlfn.XLOOKUP(Table126[[#This Row],[ACA Number]],Table124[ACA Number],Table124[2nd Best Result])</f>
        <v>280.99</v>
      </c>
      <c r="BD17">
        <f>_xlfn.XLOOKUP(Table126[[#This Row],[ACA Number]],Table125[ACA Number],Table125[Best result])</f>
        <v>126.44</v>
      </c>
      <c r="BE17">
        <f>_xlfn.XLOOKUP(Table126[[#This Row],[ACA Number]],Table125[ACA Number],Table125[2nd Best Result])</f>
        <v>129.18</v>
      </c>
      <c r="BF17">
        <f t="shared" si="0"/>
        <v>1960.59</v>
      </c>
      <c r="BG17">
        <f>_xlfn.RANK.EQ(Table126[[#This Row],[Total Points]],Table126[Total Points],1)</f>
        <v>15</v>
      </c>
    </row>
    <row r="18" spans="1:59" x14ac:dyDescent="0.3">
      <c r="A18">
        <v>117000</v>
      </c>
      <c r="B18" t="s">
        <v>633</v>
      </c>
      <c r="C18" t="s">
        <v>626</v>
      </c>
      <c r="D18">
        <f>_xlfn.XLOOKUP(Table121[[#This Row],[ACA Number]],Table12[NAT Number],Table12[run 1 points])</f>
        <v>266.95</v>
      </c>
      <c r="E18">
        <f>_xlfn.XLOOKUP(Table121[[#This Row],[ACA Number]],Table12[NAT Number],Table12[run 2 points])</f>
        <v>302.98</v>
      </c>
      <c r="F18">
        <f>_xlfn.XLOOKUP(Table121[[#This Row],[ACA Number]],Table1225[NAT Number],Table1225[run 1 points])</f>
        <v>999.99</v>
      </c>
      <c r="G18">
        <f>_xlfn.XLOOKUP(Table121[[#This Row],[ACA Number]],Table1225[NAT Number],Table1225[run 2 points])</f>
        <v>999.99</v>
      </c>
      <c r="H18">
        <f>_xlfn.XLOOKUP(Table121[[#This Row],[ACA Number]],Table127163143556779[NAT Number],Table127163143556779[run 1 points])</f>
        <v>276.68</v>
      </c>
      <c r="I18">
        <f>_xlfn.XLOOKUP(Table121[[#This Row],[ACA Number]],Table127163143556779[NAT Number],Table127163143556779[run 2 points])</f>
        <v>270.54000000000002</v>
      </c>
      <c r="J18" cm="1">
        <f t="array" ref="J18">_xlfn.LET(_xlpm.r,Table121[[#This Row],[PM SL1 R1]:[MF SL1 R2]],_xlpm.m,_xlfn.AGGREGATE(15,6,_xlpm.r/(_xlpm.r&lt;&gt;999.99),1),IFERROR(_xlpm.m,999.99))</f>
        <v>266.95</v>
      </c>
      <c r="L18">
        <v>121965</v>
      </c>
      <c r="M18" t="s">
        <v>641</v>
      </c>
      <c r="N18" t="s">
        <v>626</v>
      </c>
      <c r="O18">
        <f>_xlfn.XLOOKUP(Table122[[#This Row],[ACA Number]],Table1271631[NAT Number],Table1271631[run 1 points])</f>
        <v>999.99</v>
      </c>
      <c r="P18">
        <f>_xlfn.XLOOKUP(Table122[[#This Row],[ACA Number]],Table1221101934[NAT Number],Table1221101934[run 1 points])</f>
        <v>346.22</v>
      </c>
      <c r="Q18" cm="1">
        <f t="array" ref="Q18">_xlfn.LET(_xlpm.r,Table122[[#This Row],[CM SG R1]:[CM SG R2]],_xlpm.m,_xlfn.AGGREGATE(15,6,_xlpm.r/(_xlpm.r&lt;&gt;999.99),1),IFERROR(_xlpm.m,999.99))</f>
        <v>346.22</v>
      </c>
      <c r="S18">
        <v>121965</v>
      </c>
      <c r="T18" t="s">
        <v>641</v>
      </c>
      <c r="U18" t="s">
        <v>626</v>
      </c>
      <c r="V18" t="e">
        <f>_xlfn.XLOOKUP(Table123[[#This Row],[ACA Number]],Table127163143556797103[NAT Number],Table127163143556797103[run 1 points])</f>
        <v>#N/A</v>
      </c>
      <c r="W18" t="e">
        <f>_xlfn.XLOOKUP(Table123[[#This Row],[ACA Number]],Table127163143556797103[NAT Number],Table127163143556797103[run 2 points])</f>
        <v>#N/A</v>
      </c>
      <c r="X18" t="e">
        <f>_xlfn.XLOOKUP(Table123[[#This Row],[ACA Number]],Table127163143556797[NAT Number],Table127163143556797[run 1 points])</f>
        <v>#N/A</v>
      </c>
      <c r="Y18" t="e">
        <f>_xlfn.XLOOKUP(Table123[[#This Row],[ACA Number]],Table127163143556797[NAT Number],Table127163143556797[run 2 points])</f>
        <v>#N/A</v>
      </c>
      <c r="Z18">
        <f>_xlfn.XLOOKUP(Table123[[#This Row],[ACA Number]],Table1271631435567[NAT Number],Table1271631435567[run 1 points])</f>
        <v>165.69</v>
      </c>
      <c r="AA18">
        <f>_xlfn.XLOOKUP(Table123[[#This Row],[ACA Number]],Table1271631435567[NAT Number],Table1271631435567[run 2 points])</f>
        <v>114.36</v>
      </c>
      <c r="AB18" cm="1">
        <f t="array" ref="AB18">_xlfn.LET(_xlpm.r,Table123[[#This Row],[CM GS1 R1]:[MF GS R2]],_xlpm.m,_xlfn.AGGREGATE(15,6,_xlpm.r/(_xlpm.r&lt;&gt;999.99),1),IFERROR(_xlpm.m,999.99))</f>
        <v>114.36</v>
      </c>
      <c r="AD18">
        <v>121965</v>
      </c>
      <c r="AE18" t="s">
        <v>641</v>
      </c>
      <c r="AF18" t="s">
        <v>626</v>
      </c>
      <c r="AG18">
        <f>_xlfn.XLOOKUP(Table124[[#This Row],[ACA Number]],Table12[NAT Number],Table12[TT race points])</f>
        <v>999.99</v>
      </c>
      <c r="AH18">
        <f>_xlfn.XLOOKUP(Table124[[#This Row],[ACA Number]],Table1225[NAT Number],Table1225[TT race points])</f>
        <v>187.5</v>
      </c>
      <c r="AI18">
        <f>_xlfn.XLOOKUP(Table124[[#This Row],[ACA Number]],Table127163143556779[NAT Number],Table127163143556779[TT race points])</f>
        <v>999.99</v>
      </c>
      <c r="AJ18" cm="1">
        <f t="array" ref="AJ18">_xlfn.LET(_xlpm.r,Table124[[#This Row],[PM SL1]:[MF SL]],_xlpm.m,_xlfn.AGGREGATE(15,6,_xlpm.r/(_xlpm.r&lt;&gt;999.99),1),IFERROR(_xlpm.m,999.99))</f>
        <v>187.5</v>
      </c>
      <c r="AK18" cm="1">
        <f t="array" ref="AK18">_xlfn.LET(_xlpm.r,Table124[[#This Row],[PM SL1]:[MF SL]],_xlpm.m,_xlfn.AGGREGATE(15,6,_xlpm.r/(_xlpm.r&lt;&gt;999.99),2),IFERROR(_xlpm.m,999.99))</f>
        <v>999.99</v>
      </c>
      <c r="AM18">
        <v>121965</v>
      </c>
      <c r="AN18" t="s">
        <v>641</v>
      </c>
      <c r="AO18" t="s">
        <v>626</v>
      </c>
      <c r="AP18" t="e">
        <f>_xlfn.XLOOKUP(Table125[[#This Row],[ACA Number]],Table127163143556797103[NAT Number],Table127163143556797103[TT race points])</f>
        <v>#N/A</v>
      </c>
      <c r="AQ18" t="e">
        <f>_xlfn.XLOOKUP(Table125[[#This Row],[ACA Number]],Table127163143556797[NAT Number],Table127163143556797[TT race points])</f>
        <v>#N/A</v>
      </c>
      <c r="AR18">
        <f>_xlfn.XLOOKUP(Table125[[#This Row],[ACA Number]],Table1271631435567[NAT Number],Table1271631435567[TT race points])</f>
        <v>139.87</v>
      </c>
      <c r="AS18" cm="1">
        <f t="array" ref="AS18">_xlfn.LET(_xlpm.r,Table125[[#This Row],[CM GS1]:[MF GS]],_xlpm.m,_xlfn.AGGREGATE(15,6,_xlpm.r/(_xlpm.r&lt;&gt;999.99),1),IFERROR(_xlpm.m,999.99))</f>
        <v>139.87</v>
      </c>
      <c r="AT18" cm="1">
        <f t="array" ref="AT18">_xlfn.LET(_xlpm.r,Table125[[#This Row],[CM GS1]:[MF GS]],_xlpm.m,_xlfn.AGGREGATE(15,6,_xlpm.r/(_xlpm.r&lt;&gt;999.99),2),IFERROR(_xlpm.m,999.99))</f>
        <v>999.99</v>
      </c>
      <c r="AV18">
        <v>121965</v>
      </c>
      <c r="AW18" t="s">
        <v>641</v>
      </c>
      <c r="AX18" t="s">
        <v>626</v>
      </c>
      <c r="AY18">
        <f>_xlfn.XLOOKUP(Table126[[#This Row],[ACA Number]],Table121[ACA Number],Table121[Best 1 run SL race])</f>
        <v>159.34</v>
      </c>
      <c r="AZ18">
        <f>_xlfn.XLOOKUP(Table126[[#This Row],[ACA Number]],Table123[ACA Number],Table123[Best 1 Run])</f>
        <v>114.36</v>
      </c>
      <c r="BA18">
        <f>_xlfn.XLOOKUP(Table126[[#This Row],[ACA Number]],Table122[ACA Number],Table122[Best 1 run GS Race])</f>
        <v>346.22</v>
      </c>
      <c r="BB18">
        <f>_xlfn.XLOOKUP(Table126[[#This Row],[ACA Number]],Table124[ACA Number],Table124[Best result],)</f>
        <v>187.5</v>
      </c>
      <c r="BC18">
        <f>_xlfn.XLOOKUP(Table126[[#This Row],[ACA Number]],Table124[ACA Number],Table124[2nd Best Result])</f>
        <v>999.99</v>
      </c>
      <c r="BD18">
        <f>_xlfn.XLOOKUP(Table126[[#This Row],[ACA Number]],Table125[ACA Number],Table125[Best result])</f>
        <v>139.87</v>
      </c>
      <c r="BE18">
        <f>_xlfn.XLOOKUP(Table126[[#This Row],[ACA Number]],Table125[ACA Number],Table125[2nd Best Result])</f>
        <v>999.99</v>
      </c>
      <c r="BF18">
        <f t="shared" si="0"/>
        <v>2947.2700000000004</v>
      </c>
      <c r="BG18">
        <f>_xlfn.RANK.EQ(Table126[[#This Row],[Total Points]],Table126[Total Points],1)</f>
        <v>16</v>
      </c>
    </row>
    <row r="19" spans="1:59" x14ac:dyDescent="0.3">
      <c r="A19">
        <v>117955</v>
      </c>
      <c r="B19" t="s">
        <v>640</v>
      </c>
      <c r="C19" t="s">
        <v>626</v>
      </c>
      <c r="D19">
        <f>_xlfn.XLOOKUP(Table121[[#This Row],[ACA Number]],Table12[NAT Number],Table12[run 1 points])</f>
        <v>381.94</v>
      </c>
      <c r="E19">
        <f>_xlfn.XLOOKUP(Table121[[#This Row],[ACA Number]],Table12[NAT Number],Table12[run 2 points])</f>
        <v>999.99</v>
      </c>
      <c r="F19">
        <f>_xlfn.XLOOKUP(Table121[[#This Row],[ACA Number]],Table1225[NAT Number],Table1225[run 1 points])</f>
        <v>462.3</v>
      </c>
      <c r="G19">
        <f>_xlfn.XLOOKUP(Table121[[#This Row],[ACA Number]],Table1225[NAT Number],Table1225[run 2 points])</f>
        <v>414.26</v>
      </c>
      <c r="H19" t="e">
        <f>_xlfn.XLOOKUP(Table121[[#This Row],[ACA Number]],Table127163143556779[NAT Number],Table127163143556779[run 1 points])</f>
        <v>#N/A</v>
      </c>
      <c r="I19" t="e">
        <f>_xlfn.XLOOKUP(Table121[[#This Row],[ACA Number]],Table127163143556779[NAT Number],Table127163143556779[run 2 points])</f>
        <v>#N/A</v>
      </c>
      <c r="J19" cm="1">
        <f t="array" ref="J19">_xlfn.LET(_xlpm.r,Table121[[#This Row],[PM SL1 R1]:[MF SL1 R2]],_xlpm.m,_xlfn.AGGREGATE(15,6,_xlpm.r/(_xlpm.r&lt;&gt;999.99),1),IFERROR(_xlpm.m,999.99))</f>
        <v>381.94</v>
      </c>
      <c r="L19">
        <v>107308</v>
      </c>
      <c r="M19" t="s">
        <v>642</v>
      </c>
      <c r="N19" t="s">
        <v>626</v>
      </c>
      <c r="O19" t="e">
        <f>_xlfn.XLOOKUP(Table122[[#This Row],[ACA Number]],Table1271631[NAT Number],Table1271631[run 1 points])</f>
        <v>#N/A</v>
      </c>
      <c r="P19" t="e">
        <f>_xlfn.XLOOKUP(Table122[[#This Row],[ACA Number]],Table1221101934[NAT Number],Table1221101934[run 1 points])</f>
        <v>#N/A</v>
      </c>
      <c r="Q19" cm="1">
        <f t="array" ref="Q19">_xlfn.LET(_xlpm.r,Table122[[#This Row],[CM SG R1]:[CM SG R2]],_xlpm.m,_xlfn.AGGREGATE(15,6,_xlpm.r/(_xlpm.r&lt;&gt;999.99),1),IFERROR(_xlpm.m,999.99))</f>
        <v>999.99</v>
      </c>
      <c r="S19">
        <v>107308</v>
      </c>
      <c r="T19" t="s">
        <v>642</v>
      </c>
      <c r="U19" t="s">
        <v>626</v>
      </c>
      <c r="V19">
        <f>_xlfn.XLOOKUP(Table123[[#This Row],[ACA Number]],Table127163143556797103[NAT Number],Table127163143556797103[run 1 points])</f>
        <v>144.1</v>
      </c>
      <c r="W19">
        <f>_xlfn.XLOOKUP(Table123[[#This Row],[ACA Number]],Table127163143556797103[NAT Number],Table127163143556797103[run 2 points])</f>
        <v>187.74</v>
      </c>
      <c r="X19">
        <f>_xlfn.XLOOKUP(Table123[[#This Row],[ACA Number]],Table127163143556797[NAT Number],Table127163143556797[run 1 points])</f>
        <v>316.81</v>
      </c>
      <c r="Y19">
        <f>_xlfn.XLOOKUP(Table123[[#This Row],[ACA Number]],Table127163143556797[NAT Number],Table127163143556797[run 2 points])</f>
        <v>245.92</v>
      </c>
      <c r="Z19">
        <f>_xlfn.XLOOKUP(Table123[[#This Row],[ACA Number]],Table1271631435567[NAT Number],Table1271631435567[run 1 points])</f>
        <v>124.07</v>
      </c>
      <c r="AA19">
        <f>_xlfn.XLOOKUP(Table123[[#This Row],[ACA Number]],Table1271631435567[NAT Number],Table1271631435567[run 2 points])</f>
        <v>134.22999999999999</v>
      </c>
      <c r="AB19" cm="1">
        <f t="array" ref="AB19">_xlfn.LET(_xlpm.r,Table123[[#This Row],[CM GS1 R1]:[MF GS R2]],_xlpm.m,_xlfn.AGGREGATE(15,6,_xlpm.r/(_xlpm.r&lt;&gt;999.99),1),IFERROR(_xlpm.m,999.99))</f>
        <v>124.07</v>
      </c>
      <c r="AD19">
        <v>107308</v>
      </c>
      <c r="AE19" t="s">
        <v>642</v>
      </c>
      <c r="AF19" t="s">
        <v>626</v>
      </c>
      <c r="AG19">
        <f>_xlfn.XLOOKUP(Table124[[#This Row],[ACA Number]],Table12[NAT Number],Table12[TT race points])</f>
        <v>280.99</v>
      </c>
      <c r="AH19">
        <f>_xlfn.XLOOKUP(Table124[[#This Row],[ACA Number]],Table1225[NAT Number],Table1225[TT race points])</f>
        <v>999.99</v>
      </c>
      <c r="AI19">
        <f>_xlfn.XLOOKUP(Table124[[#This Row],[ACA Number]],Table127163143556779[NAT Number],Table127163143556779[TT race points])</f>
        <v>158.34</v>
      </c>
      <c r="AJ19" cm="1">
        <f t="array" ref="AJ19">_xlfn.LET(_xlpm.r,Table124[[#This Row],[PM SL1]:[MF SL]],_xlpm.m,_xlfn.AGGREGATE(15,6,_xlpm.r/(_xlpm.r&lt;&gt;999.99),1),IFERROR(_xlpm.m,999.99))</f>
        <v>158.34</v>
      </c>
      <c r="AK19" cm="1">
        <f t="array" ref="AK19">_xlfn.LET(_xlpm.r,Table124[[#This Row],[PM SL1]:[MF SL]],_xlpm.m,_xlfn.AGGREGATE(15,6,_xlpm.r/(_xlpm.r&lt;&gt;999.99),2),IFERROR(_xlpm.m,999.99))</f>
        <v>280.99</v>
      </c>
      <c r="AM19">
        <v>107308</v>
      </c>
      <c r="AN19" t="s">
        <v>642</v>
      </c>
      <c r="AO19" t="s">
        <v>626</v>
      </c>
      <c r="AP19">
        <f>_xlfn.XLOOKUP(Table125[[#This Row],[ACA Number]],Table127163143556797103[NAT Number],Table127163143556797103[TT race points])</f>
        <v>126.44</v>
      </c>
      <c r="AQ19">
        <f>_xlfn.XLOOKUP(Table125[[#This Row],[ACA Number]],Table127163143556797[NAT Number],Table127163143556797[TT race points])</f>
        <v>279.62</v>
      </c>
      <c r="AR19">
        <f>_xlfn.XLOOKUP(Table125[[#This Row],[ACA Number]],Table1271631435567[NAT Number],Table1271631435567[TT race points])</f>
        <v>129.18</v>
      </c>
      <c r="AS19" cm="1">
        <f t="array" ref="AS19">_xlfn.LET(_xlpm.r,Table125[[#This Row],[CM GS1]:[MF GS]],_xlpm.m,_xlfn.AGGREGATE(15,6,_xlpm.r/(_xlpm.r&lt;&gt;999.99),1),IFERROR(_xlpm.m,999.99))</f>
        <v>126.44</v>
      </c>
      <c r="AT19" cm="1">
        <f t="array" ref="AT19">_xlfn.LET(_xlpm.r,Table125[[#This Row],[CM GS1]:[MF GS]],_xlpm.m,_xlfn.AGGREGATE(15,6,_xlpm.r/(_xlpm.r&lt;&gt;999.99),2),IFERROR(_xlpm.m,999.99))</f>
        <v>129.18</v>
      </c>
      <c r="AV19">
        <v>107310</v>
      </c>
      <c r="AW19" t="s">
        <v>643</v>
      </c>
      <c r="AX19" t="s">
        <v>626</v>
      </c>
      <c r="AY19">
        <f>_xlfn.XLOOKUP(Table126[[#This Row],[ACA Number]],Table121[ACA Number],Table121[Best 1 run SL race])</f>
        <v>400.93</v>
      </c>
      <c r="AZ19">
        <f>_xlfn.XLOOKUP(Table126[[#This Row],[ACA Number]],Table123[ACA Number],Table123[Best 1 Run])</f>
        <v>415.12</v>
      </c>
      <c r="BA19">
        <f>_xlfn.XLOOKUP(Table126[[#This Row],[ACA Number]],Table122[ACA Number],Table122[Best 1 run GS Race])</f>
        <v>999.99</v>
      </c>
      <c r="BB19">
        <f>_xlfn.XLOOKUP(Table126[[#This Row],[ACA Number]],Table124[ACA Number],Table124[Best result],)</f>
        <v>401.3</v>
      </c>
      <c r="BC19">
        <f>_xlfn.XLOOKUP(Table126[[#This Row],[ACA Number]],Table124[ACA Number],Table124[2nd Best Result])</f>
        <v>526.13</v>
      </c>
      <c r="BD19">
        <f>_xlfn.XLOOKUP(Table126[[#This Row],[ACA Number]],Table125[ACA Number],Table125[Best result])</f>
        <v>437.49</v>
      </c>
      <c r="BE19">
        <f>_xlfn.XLOOKUP(Table126[[#This Row],[ACA Number]],Table125[ACA Number],Table125[2nd Best Result])</f>
        <v>999.99</v>
      </c>
      <c r="BF19">
        <f t="shared" si="0"/>
        <v>4180.95</v>
      </c>
      <c r="BG19">
        <f>_xlfn.RANK.EQ(Table126[[#This Row],[Total Points]],Table126[Total Points],1)</f>
        <v>17</v>
      </c>
    </row>
    <row r="20" spans="1:59" x14ac:dyDescent="0.3">
      <c r="A20">
        <v>107310</v>
      </c>
      <c r="B20" t="s">
        <v>643</v>
      </c>
      <c r="C20" t="s">
        <v>626</v>
      </c>
      <c r="D20">
        <f>_xlfn.XLOOKUP(Table121[[#This Row],[ACA Number]],Table12[NAT Number],Table12[run 1 points])</f>
        <v>519.94000000000005</v>
      </c>
      <c r="E20">
        <f>_xlfn.XLOOKUP(Table121[[#This Row],[ACA Number]],Table12[NAT Number],Table12[run 2 points])</f>
        <v>534.5</v>
      </c>
      <c r="F20">
        <f>_xlfn.XLOOKUP(Table121[[#This Row],[ACA Number]],Table1225[NAT Number],Table1225[run 1 points])</f>
        <v>596.54</v>
      </c>
      <c r="G20">
        <f>_xlfn.XLOOKUP(Table121[[#This Row],[ACA Number]],Table1225[NAT Number],Table1225[run 2 points])</f>
        <v>560.9</v>
      </c>
      <c r="H20">
        <f>_xlfn.XLOOKUP(Table121[[#This Row],[ACA Number]],Table127163143556779[NAT Number],Table127163143556779[run 1 points])</f>
        <v>411.95</v>
      </c>
      <c r="I20">
        <f>_xlfn.XLOOKUP(Table121[[#This Row],[ACA Number]],Table127163143556779[NAT Number],Table127163143556779[run 2 points])</f>
        <v>400.93</v>
      </c>
      <c r="J20" cm="1">
        <f t="array" ref="J20">_xlfn.LET(_xlpm.r,Table121[[#This Row],[PM SL1 R1]:[MF SL1 R2]],_xlpm.m,_xlfn.AGGREGATE(15,6,_xlpm.r/(_xlpm.r&lt;&gt;999.99),1),IFERROR(_xlpm.m,999.99))</f>
        <v>400.93</v>
      </c>
      <c r="L20">
        <v>107310</v>
      </c>
      <c r="M20" t="s">
        <v>643</v>
      </c>
      <c r="N20" t="s">
        <v>626</v>
      </c>
      <c r="O20" t="e">
        <f>_xlfn.XLOOKUP(Table122[[#This Row],[ACA Number]],Table1271631[NAT Number],Table1271631[run 1 points])</f>
        <v>#N/A</v>
      </c>
      <c r="P20" t="e">
        <f>_xlfn.XLOOKUP(Table122[[#This Row],[ACA Number]],Table1221101934[NAT Number],Table1221101934[run 1 points])</f>
        <v>#N/A</v>
      </c>
      <c r="Q20" cm="1">
        <f t="array" ref="Q20">_xlfn.LET(_xlpm.r,Table122[[#This Row],[CM SG R1]:[CM SG R2]],_xlpm.m,_xlfn.AGGREGATE(15,6,_xlpm.r/(_xlpm.r&lt;&gt;999.99),1),IFERROR(_xlpm.m,999.99))</f>
        <v>999.99</v>
      </c>
      <c r="S20">
        <v>107310</v>
      </c>
      <c r="T20" t="s">
        <v>643</v>
      </c>
      <c r="U20" t="s">
        <v>626</v>
      </c>
      <c r="V20" t="e">
        <f>_xlfn.XLOOKUP(Table123[[#This Row],[ACA Number]],Table127163143556797103[NAT Number],Table127163143556797103[run 1 points])</f>
        <v>#N/A</v>
      </c>
      <c r="W20" t="e">
        <f>_xlfn.XLOOKUP(Table123[[#This Row],[ACA Number]],Table127163143556797103[NAT Number],Table127163143556797103[run 2 points])</f>
        <v>#N/A</v>
      </c>
      <c r="X20" t="e">
        <f>_xlfn.XLOOKUP(Table123[[#This Row],[ACA Number]],Table127163143556797[NAT Number],Table127163143556797[run 1 points])</f>
        <v>#N/A</v>
      </c>
      <c r="Y20" t="e">
        <f>_xlfn.XLOOKUP(Table123[[#This Row],[ACA Number]],Table127163143556797[NAT Number],Table127163143556797[run 2 points])</f>
        <v>#N/A</v>
      </c>
      <c r="Z20">
        <f>_xlfn.XLOOKUP(Table123[[#This Row],[ACA Number]],Table1271631435567[NAT Number],Table1271631435567[run 1 points])</f>
        <v>460.12</v>
      </c>
      <c r="AA20">
        <f>_xlfn.XLOOKUP(Table123[[#This Row],[ACA Number]],Table1271631435567[NAT Number],Table1271631435567[run 2 points])</f>
        <v>415.12</v>
      </c>
      <c r="AB20" cm="1">
        <f t="array" ref="AB20">_xlfn.LET(_xlpm.r,Table123[[#This Row],[CM GS1 R1]:[MF GS R2]],_xlpm.m,_xlfn.AGGREGATE(15,6,_xlpm.r/(_xlpm.r&lt;&gt;999.99),1),IFERROR(_xlpm.m,999.99))</f>
        <v>415.12</v>
      </c>
      <c r="AD20">
        <v>107310</v>
      </c>
      <c r="AE20" t="s">
        <v>643</v>
      </c>
      <c r="AF20" t="s">
        <v>626</v>
      </c>
      <c r="AG20">
        <f>_xlfn.XLOOKUP(Table124[[#This Row],[ACA Number]],Table12[NAT Number],Table12[TT race points])</f>
        <v>526.13</v>
      </c>
      <c r="AH20">
        <f>_xlfn.XLOOKUP(Table124[[#This Row],[ACA Number]],Table1225[NAT Number],Table1225[TT race points])</f>
        <v>578.41</v>
      </c>
      <c r="AI20">
        <f>_xlfn.XLOOKUP(Table124[[#This Row],[ACA Number]],Table127163143556779[NAT Number],Table127163143556779[TT race points])</f>
        <v>401.3</v>
      </c>
      <c r="AJ20" cm="1">
        <f t="array" ref="AJ20">_xlfn.LET(_xlpm.r,Table124[[#This Row],[PM SL1]:[MF SL]],_xlpm.m,_xlfn.AGGREGATE(15,6,_xlpm.r/(_xlpm.r&lt;&gt;999.99),1),IFERROR(_xlpm.m,999.99))</f>
        <v>401.3</v>
      </c>
      <c r="AK20" cm="1">
        <f t="array" ref="AK20">_xlfn.LET(_xlpm.r,Table124[[#This Row],[PM SL1]:[MF SL]],_xlpm.m,_xlfn.AGGREGATE(15,6,_xlpm.r/(_xlpm.r&lt;&gt;999.99),2),IFERROR(_xlpm.m,999.99))</f>
        <v>526.13</v>
      </c>
      <c r="AM20">
        <v>107310</v>
      </c>
      <c r="AN20" t="s">
        <v>643</v>
      </c>
      <c r="AO20" t="s">
        <v>626</v>
      </c>
      <c r="AP20" t="e">
        <f>_xlfn.XLOOKUP(Table125[[#This Row],[ACA Number]],Table127163143556797103[NAT Number],Table127163143556797103[TT race points])</f>
        <v>#N/A</v>
      </c>
      <c r="AQ20" t="e">
        <f>_xlfn.XLOOKUP(Table125[[#This Row],[ACA Number]],Table127163143556797[NAT Number],Table127163143556797[TT race points])</f>
        <v>#N/A</v>
      </c>
      <c r="AR20">
        <f>_xlfn.XLOOKUP(Table125[[#This Row],[ACA Number]],Table1271631435567[NAT Number],Table1271631435567[TT race points])</f>
        <v>437.49</v>
      </c>
      <c r="AS20" cm="1">
        <f t="array" ref="AS20">_xlfn.LET(_xlpm.r,Table125[[#This Row],[CM GS1]:[MF GS]],_xlpm.m,_xlfn.AGGREGATE(15,6,_xlpm.r/(_xlpm.r&lt;&gt;999.99),1),IFERROR(_xlpm.m,999.99))</f>
        <v>437.49</v>
      </c>
      <c r="AT20" cm="1">
        <f t="array" ref="AT20">_xlfn.LET(_xlpm.r,Table125[[#This Row],[CM GS1]:[MF GS]],_xlpm.m,_xlfn.AGGREGATE(15,6,_xlpm.r/(_xlpm.r&lt;&gt;999.99),2),IFERROR(_xlpm.m,999.99))</f>
        <v>999.99</v>
      </c>
      <c r="AV20">
        <v>117955</v>
      </c>
      <c r="AW20" t="s">
        <v>640</v>
      </c>
      <c r="AX20" t="s">
        <v>626</v>
      </c>
      <c r="AY20">
        <f>_xlfn.XLOOKUP(Table126[[#This Row],[ACA Number]],Table121[ACA Number],Table121[Best 1 run SL race])</f>
        <v>381.94</v>
      </c>
      <c r="AZ20">
        <f>_xlfn.XLOOKUP(Table126[[#This Row],[ACA Number]],Table123[ACA Number],Table123[Best 1 Run])</f>
        <v>275.13</v>
      </c>
      <c r="BA20">
        <f>_xlfn.XLOOKUP(Table126[[#This Row],[ACA Number]],Table122[ACA Number],Table122[Best 1 run GS Race])</f>
        <v>999.99</v>
      </c>
      <c r="BB20">
        <f>_xlfn.XLOOKUP(Table126[[#This Row],[ACA Number]],Table124[ACA Number],Table124[Best result],)</f>
        <v>437.86</v>
      </c>
      <c r="BC20">
        <f>_xlfn.XLOOKUP(Table126[[#This Row],[ACA Number]],Table124[ACA Number],Table124[2nd Best Result])</f>
        <v>999.99</v>
      </c>
      <c r="BD20">
        <f>_xlfn.XLOOKUP(Table126[[#This Row],[ACA Number]],Table125[ACA Number],Table125[Best result])</f>
        <v>249.66</v>
      </c>
      <c r="BE20">
        <f>_xlfn.XLOOKUP(Table126[[#This Row],[ACA Number]],Table125[ACA Number],Table125[2nd Best Result])</f>
        <v>999.99</v>
      </c>
      <c r="BF20">
        <f t="shared" si="0"/>
        <v>4344.5599999999995</v>
      </c>
      <c r="BG20">
        <f>_xlfn.RANK.EQ(Table126[[#This Row],[Total Points]],Table126[Total Points],1)</f>
        <v>18</v>
      </c>
    </row>
    <row r="21" spans="1:59" x14ac:dyDescent="0.3">
      <c r="A21">
        <v>102772</v>
      </c>
      <c r="B21" t="s">
        <v>627</v>
      </c>
      <c r="C21" t="s">
        <v>626</v>
      </c>
      <c r="D21">
        <f>_xlfn.XLOOKUP(Table121[[#This Row],[ACA Number]],Table12[NAT Number],Table12[run 1 points])</f>
        <v>999.99</v>
      </c>
      <c r="E21">
        <f>_xlfn.XLOOKUP(Table121[[#This Row],[ACA Number]],Table12[NAT Number],Table12[run 2 points])</f>
        <v>999.99</v>
      </c>
      <c r="F21">
        <f>_xlfn.XLOOKUP(Table121[[#This Row],[ACA Number]],Table1225[NAT Number],Table1225[run 1 points])</f>
        <v>999.99</v>
      </c>
      <c r="G21">
        <f>_xlfn.XLOOKUP(Table121[[#This Row],[ACA Number]],Table1225[NAT Number],Table1225[run 2 points])</f>
        <v>999.99</v>
      </c>
      <c r="H21" t="e">
        <f>_xlfn.XLOOKUP(Table121[[#This Row],[ACA Number]],Table127163143556779[NAT Number],Table127163143556779[run 1 points])</f>
        <v>#N/A</v>
      </c>
      <c r="I21" t="e">
        <f>_xlfn.XLOOKUP(Table121[[#This Row],[ACA Number]],Table127163143556779[NAT Number],Table127163143556779[run 2 points])</f>
        <v>#N/A</v>
      </c>
      <c r="J21" cm="1">
        <f t="array" ref="J21">_xlfn.LET(_xlpm.r,Table121[[#This Row],[PM SL1 R1]:[MF SL1 R2]],_xlpm.m,_xlfn.AGGREGATE(15,6,_xlpm.r/(_xlpm.r&lt;&gt;999.99),1),IFERROR(_xlpm.m,999.99))</f>
        <v>999.99</v>
      </c>
      <c r="L21">
        <v>118512</v>
      </c>
      <c r="M21" t="s">
        <v>644</v>
      </c>
      <c r="N21" t="s">
        <v>626</v>
      </c>
      <c r="O21">
        <f>_xlfn.XLOOKUP(Table122[[#This Row],[ACA Number]],Table1271631[NAT Number],Table1271631[run 1 points])</f>
        <v>308.73</v>
      </c>
      <c r="P21">
        <f>_xlfn.XLOOKUP(Table122[[#This Row],[ACA Number]],Table1221101934[NAT Number],Table1221101934[run 1 points])</f>
        <v>308.68</v>
      </c>
      <c r="Q21" cm="1">
        <f t="array" ref="Q21">_xlfn.LET(_xlpm.r,Table122[[#This Row],[CM SG R1]:[CM SG R2]],_xlpm.m,_xlfn.AGGREGATE(15,6,_xlpm.r/(_xlpm.r&lt;&gt;999.99),1),IFERROR(_xlpm.m,999.99))</f>
        <v>308.68</v>
      </c>
      <c r="S21">
        <v>118512</v>
      </c>
      <c r="T21" t="s">
        <v>644</v>
      </c>
      <c r="U21" t="s">
        <v>626</v>
      </c>
      <c r="V21">
        <f>_xlfn.XLOOKUP(Table123[[#This Row],[ACA Number]],Table127163143556797103[NAT Number],Table127163143556797103[run 1 points])</f>
        <v>72.239999999999995</v>
      </c>
      <c r="W21">
        <f>_xlfn.XLOOKUP(Table123[[#This Row],[ACA Number]],Table127163143556797103[NAT Number],Table127163143556797103[run 2 points])</f>
        <v>102.34</v>
      </c>
      <c r="X21">
        <f>_xlfn.XLOOKUP(Table123[[#This Row],[ACA Number]],Table127163143556797[NAT Number],Table127163143556797[run 1 points])</f>
        <v>231.77</v>
      </c>
      <c r="Y21">
        <f>_xlfn.XLOOKUP(Table123[[#This Row],[ACA Number]],Table127163143556797[NAT Number],Table127163143556797[run 2 points])</f>
        <v>186.5</v>
      </c>
      <c r="Z21">
        <f>_xlfn.XLOOKUP(Table123[[#This Row],[ACA Number]],Table1271631435567[NAT Number],Table1271631435567[run 1 points])</f>
        <v>102.95</v>
      </c>
      <c r="AA21">
        <f>_xlfn.XLOOKUP(Table123[[#This Row],[ACA Number]],Table1271631435567[NAT Number],Table1271631435567[run 2 points])</f>
        <v>93.5</v>
      </c>
      <c r="AB21" cm="1">
        <f t="array" ref="AB21">_xlfn.LET(_xlpm.r,Table123[[#This Row],[CM GS1 R1]:[MF GS R2]],_xlpm.m,_xlfn.AGGREGATE(15,6,_xlpm.r/(_xlpm.r&lt;&gt;999.99),1),IFERROR(_xlpm.m,999.99))</f>
        <v>72.239999999999995</v>
      </c>
      <c r="AD21">
        <v>118512</v>
      </c>
      <c r="AE21" t="s">
        <v>644</v>
      </c>
      <c r="AF21" t="s">
        <v>626</v>
      </c>
      <c r="AG21">
        <f>_xlfn.XLOOKUP(Table124[[#This Row],[ACA Number]],Table12[NAT Number],Table12[TT race points])</f>
        <v>999.99</v>
      </c>
      <c r="AH21">
        <f>_xlfn.XLOOKUP(Table124[[#This Row],[ACA Number]],Table1225[NAT Number],Table1225[TT race points])</f>
        <v>210.13</v>
      </c>
      <c r="AI21">
        <f>_xlfn.XLOOKUP(Table124[[#This Row],[ACA Number]],Table127163143556779[NAT Number],Table127163143556779[TT race points])</f>
        <v>133.4</v>
      </c>
      <c r="AJ21" cm="1">
        <f t="array" ref="AJ21">_xlfn.LET(_xlpm.r,Table124[[#This Row],[PM SL1]:[MF SL]],_xlpm.m,_xlfn.AGGREGATE(15,6,_xlpm.r/(_xlpm.r&lt;&gt;999.99),1),IFERROR(_xlpm.m,999.99))</f>
        <v>133.4</v>
      </c>
      <c r="AK21" cm="1">
        <f t="array" ref="AK21">_xlfn.LET(_xlpm.r,Table124[[#This Row],[PM SL1]:[MF SL]],_xlpm.m,_xlfn.AGGREGATE(15,6,_xlpm.r/(_xlpm.r&lt;&gt;999.99),2),IFERROR(_xlpm.m,999.99))</f>
        <v>210.13</v>
      </c>
      <c r="AM21">
        <v>118512</v>
      </c>
      <c r="AN21" t="s">
        <v>644</v>
      </c>
      <c r="AO21" t="s">
        <v>626</v>
      </c>
      <c r="AP21">
        <f>_xlfn.XLOOKUP(Table125[[#This Row],[ACA Number]],Table127163143556797103[NAT Number],Table127163143556797103[TT race points])</f>
        <v>50.69</v>
      </c>
      <c r="AQ21">
        <f>_xlfn.XLOOKUP(Table125[[#This Row],[ACA Number]],Table127163143556797[NAT Number],Table127163143556797[TT race points])</f>
        <v>208.02</v>
      </c>
      <c r="AR21">
        <f>_xlfn.XLOOKUP(Table125[[#This Row],[ACA Number]],Table1271631435567[NAT Number],Table1271631435567[TT race points])</f>
        <v>98.19</v>
      </c>
      <c r="AS21" cm="1">
        <f t="array" ref="AS21">_xlfn.LET(_xlpm.r,Table125[[#This Row],[CM GS1]:[MF GS]],_xlpm.m,_xlfn.AGGREGATE(15,6,_xlpm.r/(_xlpm.r&lt;&gt;999.99),1),IFERROR(_xlpm.m,999.99))</f>
        <v>50.69</v>
      </c>
      <c r="AT21" cm="1">
        <f t="array" ref="AT21">_xlfn.LET(_xlpm.r,Table125[[#This Row],[CM GS1]:[MF GS]],_xlpm.m,_xlfn.AGGREGATE(15,6,_xlpm.r/(_xlpm.r&lt;&gt;999.99),2),IFERROR(_xlpm.m,999.99))</f>
        <v>98.19</v>
      </c>
      <c r="AV21">
        <v>126973</v>
      </c>
      <c r="AW21" t="s">
        <v>638</v>
      </c>
      <c r="AX21" t="s">
        <v>626</v>
      </c>
      <c r="AY21">
        <f>_xlfn.XLOOKUP(Table126[[#This Row],[ACA Number]],Table121[ACA Number],Table121[Best 1 run SL race])</f>
        <v>999.99</v>
      </c>
      <c r="AZ21">
        <f>_xlfn.XLOOKUP(Table126[[#This Row],[ACA Number]],Table123[ACA Number],Table123[Best 1 Run])</f>
        <v>999.99</v>
      </c>
      <c r="BA21">
        <f>_xlfn.XLOOKUP(Table126[[#This Row],[ACA Number]],Table122[ACA Number],Table122[Best 1 run GS Race])</f>
        <v>999.99</v>
      </c>
      <c r="BB21">
        <f>_xlfn.XLOOKUP(Table126[[#This Row],[ACA Number]],Table124[ACA Number],Table124[Best result],)</f>
        <v>999.99</v>
      </c>
      <c r="BC21">
        <f>_xlfn.XLOOKUP(Table126[[#This Row],[ACA Number]],Table124[ACA Number],Table124[2nd Best Result])</f>
        <v>999.99</v>
      </c>
      <c r="BD21">
        <f>_xlfn.XLOOKUP(Table126[[#This Row],[ACA Number]],Table125[ACA Number],Table125[Best result])</f>
        <v>999.99</v>
      </c>
      <c r="BE21">
        <f>_xlfn.XLOOKUP(Table126[[#This Row],[ACA Number]],Table125[ACA Number],Table125[2nd Best Result])</f>
        <v>999.99</v>
      </c>
      <c r="BF21">
        <f t="shared" si="0"/>
        <v>6999.9299999999994</v>
      </c>
      <c r="BG21">
        <f>_xlfn.RANK.EQ(Table126[[#This Row],[Total Points]],Table126[Total Points],1)</f>
        <v>19</v>
      </c>
    </row>
    <row r="22" spans="1:59" x14ac:dyDescent="0.3">
      <c r="A22">
        <v>123271</v>
      </c>
      <c r="B22" t="s">
        <v>636</v>
      </c>
      <c r="C22" t="s">
        <v>626</v>
      </c>
      <c r="D22" t="e">
        <f>_xlfn.XLOOKUP(Table121[[#This Row],[ACA Number]],Table12[NAT Number],Table12[run 1 points])</f>
        <v>#N/A</v>
      </c>
      <c r="E22" t="e">
        <f>_xlfn.XLOOKUP(Table121[[#This Row],[ACA Number]],Table12[NAT Number],Table12[run 2 points])</f>
        <v>#N/A</v>
      </c>
      <c r="F22" t="e">
        <f>_xlfn.XLOOKUP(Table121[[#This Row],[ACA Number]],Table1225[NAT Number],Table1225[run 1 points])</f>
        <v>#N/A</v>
      </c>
      <c r="G22" t="e">
        <f>_xlfn.XLOOKUP(Table121[[#This Row],[ACA Number]],Table1225[NAT Number],Table1225[run 2 points])</f>
        <v>#N/A</v>
      </c>
      <c r="H22" t="e">
        <f>_xlfn.XLOOKUP(Table121[[#This Row],[ACA Number]],Table127163143556779[NAT Number],Table127163143556779[run 1 points])</f>
        <v>#N/A</v>
      </c>
      <c r="I22" t="e">
        <f>_xlfn.XLOOKUP(Table121[[#This Row],[ACA Number]],Table127163143556779[NAT Number],Table127163143556779[run 2 points])</f>
        <v>#N/A</v>
      </c>
      <c r="J22" cm="1">
        <f t="array" ref="J22">_xlfn.LET(_xlpm.r,Table121[[#This Row],[PM SL1 R1]:[MF SL1 R2]],_xlpm.m,_xlfn.AGGREGATE(15,6,_xlpm.r/(_xlpm.r&lt;&gt;999.99),1),IFERROR(_xlpm.m,999.99))</f>
        <v>999.99</v>
      </c>
      <c r="L22">
        <v>117693</v>
      </c>
      <c r="M22" t="s">
        <v>645</v>
      </c>
      <c r="N22" t="s">
        <v>626</v>
      </c>
      <c r="O22">
        <f>_xlfn.XLOOKUP(Table122[[#This Row],[ACA Number]],Table1271631[NAT Number],Table1271631[run 1 points])</f>
        <v>268.92</v>
      </c>
      <c r="P22">
        <f>_xlfn.XLOOKUP(Table122[[#This Row],[ACA Number]],Table1221101934[NAT Number],Table1221101934[run 1 points])</f>
        <v>180.3</v>
      </c>
      <c r="Q22" cm="1">
        <f t="array" ref="Q22">_xlfn.LET(_xlpm.r,Table122[[#This Row],[CM SG R1]:[CM SG R2]],_xlpm.m,_xlfn.AGGREGATE(15,6,_xlpm.r/(_xlpm.r&lt;&gt;999.99),1),IFERROR(_xlpm.m,999.99))</f>
        <v>180.3</v>
      </c>
      <c r="S22">
        <v>117693</v>
      </c>
      <c r="T22" t="s">
        <v>645</v>
      </c>
      <c r="U22" t="s">
        <v>626</v>
      </c>
      <c r="V22">
        <f>_xlfn.XLOOKUP(Table123[[#This Row],[ACA Number]],Table127163143556797103[NAT Number],Table127163143556797103[run 1 points])</f>
        <v>35.47</v>
      </c>
      <c r="W22">
        <f>_xlfn.XLOOKUP(Table123[[#This Row],[ACA Number]],Table127163143556797103[NAT Number],Table127163143556797103[run 2 points])</f>
        <v>96.93</v>
      </c>
      <c r="X22">
        <f>_xlfn.XLOOKUP(Table123[[#This Row],[ACA Number]],Table127163143556797[NAT Number],Table127163143556797[run 1 points])</f>
        <v>170.9</v>
      </c>
      <c r="Y22">
        <f>_xlfn.XLOOKUP(Table123[[#This Row],[ACA Number]],Table127163143556797[NAT Number],Table127163143556797[run 2 points])</f>
        <v>136.34</v>
      </c>
      <c r="Z22">
        <f>_xlfn.XLOOKUP(Table123[[#This Row],[ACA Number]],Table1271631435567[NAT Number],Table1271631435567[run 1 points])</f>
        <v>63.56</v>
      </c>
      <c r="AA22">
        <f>_xlfn.XLOOKUP(Table123[[#This Row],[ACA Number]],Table1271631435567[NAT Number],Table1271631435567[run 2 points])</f>
        <v>40.729999999999997</v>
      </c>
      <c r="AB22" cm="1">
        <f t="array" ref="AB22">_xlfn.LET(_xlpm.r,Table123[[#This Row],[CM GS1 R1]:[MF GS R2]],_xlpm.m,_xlfn.AGGREGATE(15,6,_xlpm.r/(_xlpm.r&lt;&gt;999.99),1),IFERROR(_xlpm.m,999.99))</f>
        <v>35.47</v>
      </c>
      <c r="AD22">
        <v>117693</v>
      </c>
      <c r="AE22" t="s">
        <v>645</v>
      </c>
      <c r="AF22" t="s">
        <v>626</v>
      </c>
      <c r="AG22">
        <f>_xlfn.XLOOKUP(Table124[[#This Row],[ACA Number]],Table12[NAT Number],Table12[TT race points])</f>
        <v>140.01</v>
      </c>
      <c r="AH22">
        <f>_xlfn.XLOOKUP(Table124[[#This Row],[ACA Number]],Table1225[NAT Number],Table1225[TT race points])</f>
        <v>999.99</v>
      </c>
      <c r="AI22">
        <f>_xlfn.XLOOKUP(Table124[[#This Row],[ACA Number]],Table127163143556779[NAT Number],Table127163143556779[TT race points])</f>
        <v>51.96</v>
      </c>
      <c r="AJ22" cm="1">
        <f t="array" ref="AJ22">_xlfn.LET(_xlpm.r,Table124[[#This Row],[PM SL1]:[MF SL]],_xlpm.m,_xlfn.AGGREGATE(15,6,_xlpm.r/(_xlpm.r&lt;&gt;999.99),1),IFERROR(_xlpm.m,999.99))</f>
        <v>51.96</v>
      </c>
      <c r="AK22" cm="1">
        <f t="array" ref="AK22">_xlfn.LET(_xlpm.r,Table124[[#This Row],[PM SL1]:[MF SL]],_xlpm.m,_xlfn.AGGREGATE(15,6,_xlpm.r/(_xlpm.r&lt;&gt;999.99),2),IFERROR(_xlpm.m,999.99))</f>
        <v>140.01</v>
      </c>
      <c r="AM22">
        <v>117693</v>
      </c>
      <c r="AN22" t="s">
        <v>645</v>
      </c>
      <c r="AO22" t="s">
        <v>626</v>
      </c>
      <c r="AP22">
        <f>_xlfn.XLOOKUP(Table125[[#This Row],[ACA Number]],Table127163143556797103[NAT Number],Table127163143556797103[TT race points])</f>
        <v>29.58</v>
      </c>
      <c r="AQ22">
        <f>_xlfn.XLOOKUP(Table125[[#This Row],[ACA Number]],Table127163143556797[NAT Number],Table127163143556797[TT race points])</f>
        <v>152.77000000000001</v>
      </c>
      <c r="AR22">
        <f>_xlfn.XLOOKUP(Table125[[#This Row],[ACA Number]],Table1271631435567[NAT Number],Table1271631435567[TT race points])</f>
        <v>52.07</v>
      </c>
      <c r="AS22" cm="1">
        <f t="array" ref="AS22">_xlfn.LET(_xlpm.r,Table125[[#This Row],[CM GS1]:[MF GS]],_xlpm.m,_xlfn.AGGREGATE(15,6,_xlpm.r/(_xlpm.r&lt;&gt;999.99),1),IFERROR(_xlpm.m,999.99))</f>
        <v>29.58</v>
      </c>
      <c r="AT22" cm="1">
        <f t="array" ref="AT22">_xlfn.LET(_xlpm.r,Table125[[#This Row],[CM GS1]:[MF GS]],_xlpm.m,_xlfn.AGGREGATE(15,6,_xlpm.r/(_xlpm.r&lt;&gt;999.99),2),IFERROR(_xlpm.m,999.99))</f>
        <v>52.07</v>
      </c>
      <c r="AV22">
        <v>123271</v>
      </c>
      <c r="AW22" t="s">
        <v>636</v>
      </c>
      <c r="AX22" t="s">
        <v>626</v>
      </c>
      <c r="AY22">
        <f>_xlfn.XLOOKUP(Table126[[#This Row],[ACA Number]],Table121[ACA Number],Table121[Best 1 run SL race])</f>
        <v>999.99</v>
      </c>
      <c r="AZ22">
        <f>_xlfn.XLOOKUP(Table126[[#This Row],[ACA Number]],Table123[ACA Number],Table123[Best 1 Run])</f>
        <v>999.99</v>
      </c>
      <c r="BA22">
        <f>_xlfn.XLOOKUP(Table126[[#This Row],[ACA Number]],Table122[ACA Number],Table122[Best 1 run GS Race])</f>
        <v>999.99</v>
      </c>
      <c r="BB22">
        <f>_xlfn.XLOOKUP(Table126[[#This Row],[ACA Number]],Table124[ACA Number],Table124[Best result],)</f>
        <v>999.99</v>
      </c>
      <c r="BC22">
        <f>_xlfn.XLOOKUP(Table126[[#This Row],[ACA Number]],Table124[ACA Number],Table124[2nd Best Result])</f>
        <v>999.99</v>
      </c>
      <c r="BD22">
        <f>_xlfn.XLOOKUP(Table126[[#This Row],[ACA Number]],Table125[ACA Number],Table125[Best result])</f>
        <v>999.99</v>
      </c>
      <c r="BE22">
        <f>_xlfn.XLOOKUP(Table126[[#This Row],[ACA Number]],Table125[ACA Number],Table125[2nd Best Result])</f>
        <v>999.99</v>
      </c>
      <c r="BF22">
        <f t="shared" si="0"/>
        <v>6999.9299999999994</v>
      </c>
      <c r="BG22">
        <f>_xlfn.RANK.EQ(Table126[[#This Row],[Total Points]],Table126[Total Points],1)</f>
        <v>19</v>
      </c>
    </row>
    <row r="23" spans="1:59" x14ac:dyDescent="0.3">
      <c r="A23">
        <v>126973</v>
      </c>
      <c r="B23" t="s">
        <v>638</v>
      </c>
      <c r="C23" t="s">
        <v>626</v>
      </c>
      <c r="D23" t="e">
        <f>_xlfn.XLOOKUP(Table121[[#This Row],[ACA Number]],Table12[NAT Number],Table12[run 1 points])</f>
        <v>#N/A</v>
      </c>
      <c r="E23" t="e">
        <f>_xlfn.XLOOKUP(Table121[[#This Row],[ACA Number]],Table12[NAT Number],Table12[run 2 points])</f>
        <v>#N/A</v>
      </c>
      <c r="F23" t="e">
        <f>_xlfn.XLOOKUP(Table121[[#This Row],[ACA Number]],Table1225[NAT Number],Table1225[run 1 points])</f>
        <v>#N/A</v>
      </c>
      <c r="G23" t="e">
        <f>_xlfn.XLOOKUP(Table121[[#This Row],[ACA Number]],Table1225[NAT Number],Table1225[run 2 points])</f>
        <v>#N/A</v>
      </c>
      <c r="H23" t="e">
        <f>_xlfn.XLOOKUP(Table121[[#This Row],[ACA Number]],Table127163143556779[NAT Number],Table127163143556779[run 1 points])</f>
        <v>#N/A</v>
      </c>
      <c r="I23" t="e">
        <f>_xlfn.XLOOKUP(Table121[[#This Row],[ACA Number]],Table127163143556779[NAT Number],Table127163143556779[run 2 points])</f>
        <v>#N/A</v>
      </c>
      <c r="J23" cm="1">
        <f t="array" ref="J23">_xlfn.LET(_xlpm.r,Table121[[#This Row],[PM SL1 R1]:[MF SL1 R2]],_xlpm.m,_xlfn.AGGREGATE(15,6,_xlpm.r/(_xlpm.r&lt;&gt;999.99),1),IFERROR(_xlpm.m,999.99))</f>
        <v>999.99</v>
      </c>
      <c r="L23">
        <v>112516</v>
      </c>
      <c r="M23" t="s">
        <v>646</v>
      </c>
      <c r="N23" t="s">
        <v>626</v>
      </c>
      <c r="O23">
        <f>_xlfn.XLOOKUP(Table122[[#This Row],[ACA Number]],Table1271631[NAT Number],Table1271631[run 1 points])</f>
        <v>288.24</v>
      </c>
      <c r="P23">
        <f>_xlfn.XLOOKUP(Table122[[#This Row],[ACA Number]],Table1221101934[NAT Number],Table1221101934[run 1 points])</f>
        <v>288.29000000000002</v>
      </c>
      <c r="Q23" cm="1">
        <f t="array" ref="Q23">_xlfn.LET(_xlpm.r,Table122[[#This Row],[CM SG R1]:[CM SG R2]],_xlpm.m,_xlfn.AGGREGATE(15,6,_xlpm.r/(_xlpm.r&lt;&gt;999.99),1),IFERROR(_xlpm.m,999.99))</f>
        <v>288.24</v>
      </c>
      <c r="S23">
        <v>112516</v>
      </c>
      <c r="T23" t="s">
        <v>646</v>
      </c>
      <c r="U23" t="s">
        <v>626</v>
      </c>
      <c r="V23">
        <f>_xlfn.XLOOKUP(Table123[[#This Row],[ACA Number]],Table127163143556797103[NAT Number],Table127163143556797103[run 1 points])</f>
        <v>68.62</v>
      </c>
      <c r="W23">
        <f>_xlfn.XLOOKUP(Table123[[#This Row],[ACA Number]],Table127163143556797103[NAT Number],Table127163143556797103[run 2 points])</f>
        <v>111.16</v>
      </c>
      <c r="X23">
        <f>_xlfn.XLOOKUP(Table123[[#This Row],[ACA Number]],Table127163143556797[NAT Number],Table127163143556797[run 1 points])</f>
        <v>182.59</v>
      </c>
      <c r="Y23">
        <f>_xlfn.XLOOKUP(Table123[[#This Row],[ACA Number]],Table127163143556797[NAT Number],Table127163143556797[run 2 points])</f>
        <v>228.86</v>
      </c>
      <c r="Z23">
        <f>_xlfn.XLOOKUP(Table123[[#This Row],[ACA Number]],Table1271631435567[NAT Number],Table1271631435567[run 1 points])</f>
        <v>91.98</v>
      </c>
      <c r="AA23">
        <f>_xlfn.XLOOKUP(Table123[[#This Row],[ACA Number]],Table1271631435567[NAT Number],Table1271631435567[run 2 points])</f>
        <v>103.33</v>
      </c>
      <c r="AB23" cm="1">
        <f t="array" ref="AB23">_xlfn.LET(_xlpm.r,Table123[[#This Row],[CM GS1 R1]:[MF GS R2]],_xlpm.m,_xlfn.AGGREGATE(15,6,_xlpm.r/(_xlpm.r&lt;&gt;999.99),1),IFERROR(_xlpm.m,999.99))</f>
        <v>68.62</v>
      </c>
      <c r="AD23">
        <v>112516</v>
      </c>
      <c r="AE23" t="s">
        <v>646</v>
      </c>
      <c r="AF23" t="s">
        <v>626</v>
      </c>
      <c r="AG23">
        <f>_xlfn.XLOOKUP(Table124[[#This Row],[ACA Number]],Table12[NAT Number],Table12[TT race points])</f>
        <v>97.02</v>
      </c>
      <c r="AH23">
        <f>_xlfn.XLOOKUP(Table124[[#This Row],[ACA Number]],Table1225[NAT Number],Table1225[TT race points])</f>
        <v>93.29</v>
      </c>
      <c r="AI23">
        <f>_xlfn.XLOOKUP(Table124[[#This Row],[ACA Number]],Table127163143556779[NAT Number],Table127163143556779[TT race points])</f>
        <v>49.29</v>
      </c>
      <c r="AJ23" cm="1">
        <f t="array" ref="AJ23">_xlfn.LET(_xlpm.r,Table124[[#This Row],[PM SL1]:[MF SL]],_xlpm.m,_xlfn.AGGREGATE(15,6,_xlpm.r/(_xlpm.r&lt;&gt;999.99),1),IFERROR(_xlpm.m,999.99))</f>
        <v>49.29</v>
      </c>
      <c r="AK23" cm="1">
        <f t="array" ref="AK23">_xlfn.LET(_xlpm.r,Table124[[#This Row],[PM SL1]:[MF SL]],_xlpm.m,_xlfn.AGGREGATE(15,6,_xlpm.r/(_xlpm.r&lt;&gt;999.99),2),IFERROR(_xlpm.m,999.99))</f>
        <v>93.29</v>
      </c>
      <c r="AM23">
        <v>112516</v>
      </c>
      <c r="AN23" t="s">
        <v>646</v>
      </c>
      <c r="AO23" t="s">
        <v>626</v>
      </c>
      <c r="AP23">
        <f>_xlfn.XLOOKUP(Table125[[#This Row],[ACA Number]],Table127163143556797103[NAT Number],Table127163143556797103[TT race points])</f>
        <v>52.92</v>
      </c>
      <c r="AQ23">
        <f>_xlfn.XLOOKUP(Table125[[#This Row],[ACA Number]],Table127163143556797[NAT Number],Table127163143556797[TT race points])</f>
        <v>206.86</v>
      </c>
      <c r="AR23">
        <f>_xlfn.XLOOKUP(Table125[[#This Row],[ACA Number]],Table1271631435567[NAT Number],Table1271631435567[TT race points])</f>
        <v>97.69</v>
      </c>
      <c r="AS23" cm="1">
        <f t="array" ref="AS23">_xlfn.LET(_xlpm.r,Table125[[#This Row],[CM GS1]:[MF GS]],_xlpm.m,_xlfn.AGGREGATE(15,6,_xlpm.r/(_xlpm.r&lt;&gt;999.99),1),IFERROR(_xlpm.m,999.99))</f>
        <v>52.92</v>
      </c>
      <c r="AT23" cm="1">
        <f t="array" ref="AT23">_xlfn.LET(_xlpm.r,Table125[[#This Row],[CM GS1]:[MF GS]],_xlpm.m,_xlfn.AGGREGATE(15,6,_xlpm.r/(_xlpm.r&lt;&gt;999.99),2),IFERROR(_xlpm.m,999.99))</f>
        <v>97.69</v>
      </c>
      <c r="AV23">
        <v>102772</v>
      </c>
      <c r="AW23" t="s">
        <v>627</v>
      </c>
      <c r="AX23" t="s">
        <v>626</v>
      </c>
      <c r="AY23">
        <f>_xlfn.XLOOKUP(Table126[[#This Row],[ACA Number]],Table121[ACA Number],Table121[Best 1 run SL race])</f>
        <v>999.99</v>
      </c>
      <c r="AZ23">
        <f>_xlfn.XLOOKUP(Table126[[#This Row],[ACA Number]],Table123[ACA Number],Table123[Best 1 Run])</f>
        <v>999.99</v>
      </c>
      <c r="BA23">
        <f>_xlfn.XLOOKUP(Table126[[#This Row],[ACA Number]],Table122[ACA Number],Table122[Best 1 run GS Race])</f>
        <v>999.99</v>
      </c>
      <c r="BB23">
        <f>_xlfn.XLOOKUP(Table126[[#This Row],[ACA Number]],Table124[ACA Number],Table124[Best result],)</f>
        <v>999.99</v>
      </c>
      <c r="BC23">
        <f>_xlfn.XLOOKUP(Table126[[#This Row],[ACA Number]],Table124[ACA Number],Table124[2nd Best Result])</f>
        <v>999.99</v>
      </c>
      <c r="BD23">
        <f>_xlfn.XLOOKUP(Table126[[#This Row],[ACA Number]],Table125[ACA Number],Table125[Best result])</f>
        <v>999.99</v>
      </c>
      <c r="BE23">
        <f>_xlfn.XLOOKUP(Table126[[#This Row],[ACA Number]],Table125[ACA Number],Table125[2nd Best Result])</f>
        <v>999.99</v>
      </c>
      <c r="BF23">
        <f t="shared" si="0"/>
        <v>6999.9299999999994</v>
      </c>
      <c r="BG23">
        <f>_xlfn.RANK.EQ(Table126[[#This Row],[Total Points]],Table126[Total Points],1)</f>
        <v>19</v>
      </c>
    </row>
  </sheetData>
  <mergeCells count="6">
    <mergeCell ref="AY1:BG1"/>
    <mergeCell ref="D1:J1"/>
    <mergeCell ref="O1:Q1"/>
    <mergeCell ref="V1:AB1"/>
    <mergeCell ref="AG1:AK1"/>
    <mergeCell ref="AP1:AT1"/>
  </mergeCells>
  <pageMargins left="0.7" right="0.7" top="0.75" bottom="0.75" header="0.3" footer="0.3"/>
  <tableParts count="6">
    <tablePart r:id="rId1"/>
    <tablePart r:id="rId2"/>
    <tablePart r:id="rId3"/>
    <tablePart r:id="rId4"/>
    <tablePart r:id="rId5"/>
    <tablePart r:id="rId6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5929BD-7DFB-40D2-9789-939A849A9DE7}">
  <dimension ref="A1:BG21"/>
  <sheetViews>
    <sheetView topLeftCell="AR1" workbookViewId="0">
      <selection activeCell="AW3" sqref="AW3:AW21"/>
    </sheetView>
  </sheetViews>
  <sheetFormatPr defaultRowHeight="14.4" x14ac:dyDescent="0.3"/>
  <cols>
    <col min="1" max="1" width="13.44140625" customWidth="1"/>
    <col min="2" max="2" width="23.33203125" bestFit="1" customWidth="1"/>
    <col min="3" max="3" width="10.33203125" customWidth="1"/>
    <col min="4" max="7" width="10.44140625" customWidth="1"/>
    <col min="8" max="8" width="13.33203125" bestFit="1" customWidth="1"/>
    <col min="9" max="9" width="10.33203125" customWidth="1"/>
    <col min="10" max="10" width="17.21875" customWidth="1"/>
    <col min="12" max="12" width="13.21875" customWidth="1"/>
    <col min="14" max="14" width="10" customWidth="1"/>
    <col min="15" max="16" width="10.5546875" customWidth="1"/>
    <col min="17" max="17" width="17.88671875" customWidth="1"/>
    <col min="19" max="19" width="13.21875" customWidth="1"/>
    <col min="21" max="21" width="10" customWidth="1"/>
    <col min="22" max="25" width="10.5546875" customWidth="1"/>
    <col min="26" max="27" width="10.33203125" customWidth="1"/>
    <col min="28" max="28" width="11.21875" customWidth="1"/>
    <col min="30" max="30" width="13.21875" customWidth="1"/>
    <col min="32" max="32" width="10" customWidth="1"/>
    <col min="33" max="33" width="11.33203125" bestFit="1" customWidth="1"/>
    <col min="36" max="36" width="11.33203125" customWidth="1"/>
    <col min="37" max="37" width="15.109375" customWidth="1"/>
    <col min="39" max="39" width="13.21875" customWidth="1"/>
    <col min="41" max="41" width="10" customWidth="1"/>
    <col min="44" max="44" width="15" bestFit="1" customWidth="1"/>
    <col min="45" max="45" width="11.33203125" customWidth="1"/>
    <col min="46" max="46" width="15.109375" customWidth="1"/>
    <col min="48" max="48" width="13.21875" customWidth="1"/>
    <col min="49" max="49" width="15.6640625" bestFit="1" customWidth="1"/>
    <col min="50" max="50" width="10" customWidth="1"/>
    <col min="51" max="51" width="9.109375" customWidth="1"/>
    <col min="52" max="52" width="10" customWidth="1"/>
    <col min="53" max="53" width="9.21875" customWidth="1"/>
    <col min="54" max="54" width="12.6640625" customWidth="1"/>
    <col min="55" max="55" width="16" customWidth="1"/>
    <col min="56" max="56" width="13.109375" customWidth="1"/>
    <col min="57" max="57" width="16.44140625" customWidth="1"/>
    <col min="58" max="58" width="10.109375" customWidth="1"/>
    <col min="59" max="59" width="12.109375" customWidth="1"/>
  </cols>
  <sheetData>
    <row r="1" spans="1:59" ht="21" x14ac:dyDescent="0.4">
      <c r="A1" s="4"/>
      <c r="B1" s="4"/>
      <c r="C1" s="4"/>
      <c r="D1" s="7" t="s">
        <v>450</v>
      </c>
      <c r="E1" s="7"/>
      <c r="F1" s="7"/>
      <c r="G1" s="7"/>
      <c r="H1" s="7"/>
      <c r="I1" s="7"/>
      <c r="J1" s="7"/>
      <c r="K1" s="4"/>
      <c r="L1" s="4"/>
      <c r="M1" s="4"/>
      <c r="N1" s="4"/>
      <c r="O1" s="7" t="s">
        <v>452</v>
      </c>
      <c r="P1" s="7"/>
      <c r="Q1" s="7"/>
      <c r="R1" s="4"/>
      <c r="S1" s="4"/>
      <c r="T1" s="4"/>
      <c r="U1" s="4"/>
      <c r="V1" s="7" t="s">
        <v>451</v>
      </c>
      <c r="W1" s="7"/>
      <c r="X1" s="7"/>
      <c r="Y1" s="7"/>
      <c r="Z1" s="7"/>
      <c r="AA1" s="7"/>
      <c r="AB1" s="7"/>
      <c r="AC1" s="4"/>
      <c r="AD1" s="4"/>
      <c r="AE1" s="4"/>
      <c r="AF1" s="4"/>
      <c r="AG1" s="7" t="s">
        <v>453</v>
      </c>
      <c r="AH1" s="7"/>
      <c r="AI1" s="7"/>
      <c r="AJ1" s="7"/>
      <c r="AK1" s="7"/>
      <c r="AL1" s="4"/>
      <c r="AM1" s="4"/>
      <c r="AN1" s="4"/>
      <c r="AO1" s="4"/>
      <c r="AP1" s="7" t="s">
        <v>458</v>
      </c>
      <c r="AQ1" s="7"/>
      <c r="AR1" s="7"/>
      <c r="AS1" s="7"/>
      <c r="AT1" s="7"/>
      <c r="AU1" s="4"/>
      <c r="AV1" s="4"/>
      <c r="AW1" s="4"/>
      <c r="AX1" s="4"/>
      <c r="AY1" s="7" t="s">
        <v>603</v>
      </c>
      <c r="AZ1" s="7"/>
      <c r="BA1" s="7"/>
      <c r="BB1" s="7"/>
      <c r="BC1" s="7"/>
      <c r="BD1" s="7"/>
      <c r="BE1" s="7"/>
      <c r="BF1" s="7"/>
      <c r="BG1" s="7"/>
    </row>
    <row r="2" spans="1:59" x14ac:dyDescent="0.3">
      <c r="A2" t="s">
        <v>367</v>
      </c>
      <c r="B2" t="s">
        <v>368</v>
      </c>
      <c r="C2" t="s">
        <v>354</v>
      </c>
      <c r="D2" t="s">
        <v>604</v>
      </c>
      <c r="E2" t="s">
        <v>605</v>
      </c>
      <c r="F2" t="s">
        <v>606</v>
      </c>
      <c r="G2" t="s">
        <v>607</v>
      </c>
      <c r="H2" t="s">
        <v>608</v>
      </c>
      <c r="I2" t="s">
        <v>609</v>
      </c>
      <c r="J2" t="s">
        <v>456</v>
      </c>
      <c r="L2" t="s">
        <v>367</v>
      </c>
      <c r="M2" t="s">
        <v>368</v>
      </c>
      <c r="N2" t="s">
        <v>354</v>
      </c>
      <c r="O2" t="s">
        <v>610</v>
      </c>
      <c r="P2" t="s">
        <v>611</v>
      </c>
      <c r="Q2" t="s">
        <v>457</v>
      </c>
      <c r="S2" t="s">
        <v>367</v>
      </c>
      <c r="T2" t="s">
        <v>368</v>
      </c>
      <c r="U2" t="s">
        <v>354</v>
      </c>
      <c r="V2" t="s">
        <v>612</v>
      </c>
      <c r="W2" t="s">
        <v>613</v>
      </c>
      <c r="X2" t="s">
        <v>614</v>
      </c>
      <c r="Y2" t="s">
        <v>615</v>
      </c>
      <c r="Z2" t="s">
        <v>616</v>
      </c>
      <c r="AA2" t="s">
        <v>617</v>
      </c>
      <c r="AB2" t="s">
        <v>369</v>
      </c>
      <c r="AD2" t="s">
        <v>367</v>
      </c>
      <c r="AE2" t="s">
        <v>368</v>
      </c>
      <c r="AF2" t="s">
        <v>354</v>
      </c>
      <c r="AG2" t="s">
        <v>618</v>
      </c>
      <c r="AH2" t="s">
        <v>619</v>
      </c>
      <c r="AI2" t="s">
        <v>620</v>
      </c>
      <c r="AJ2" t="s">
        <v>454</v>
      </c>
      <c r="AK2" t="s">
        <v>455</v>
      </c>
      <c r="AM2" t="s">
        <v>367</v>
      </c>
      <c r="AN2" t="s">
        <v>368</v>
      </c>
      <c r="AO2" t="s">
        <v>354</v>
      </c>
      <c r="AP2" t="s">
        <v>621</v>
      </c>
      <c r="AQ2" t="s">
        <v>622</v>
      </c>
      <c r="AR2" t="s">
        <v>623</v>
      </c>
      <c r="AS2" t="s">
        <v>454</v>
      </c>
      <c r="AT2" t="s">
        <v>455</v>
      </c>
      <c r="AV2" t="s">
        <v>367</v>
      </c>
      <c r="AW2" t="s">
        <v>368</v>
      </c>
      <c r="AX2" t="s">
        <v>354</v>
      </c>
      <c r="AY2" t="s">
        <v>587</v>
      </c>
      <c r="AZ2" t="s">
        <v>581</v>
      </c>
      <c r="BA2" t="s">
        <v>582</v>
      </c>
      <c r="BB2" t="s">
        <v>583</v>
      </c>
      <c r="BC2" t="s">
        <v>584</v>
      </c>
      <c r="BD2" t="s">
        <v>585</v>
      </c>
      <c r="BE2" t="s">
        <v>586</v>
      </c>
      <c r="BF2" t="s">
        <v>588</v>
      </c>
      <c r="BG2" t="s">
        <v>624</v>
      </c>
    </row>
    <row r="3" spans="1:59" x14ac:dyDescent="0.3">
      <c r="A3">
        <v>108668</v>
      </c>
      <c r="B3" t="s">
        <v>647</v>
      </c>
      <c r="C3" t="s">
        <v>648</v>
      </c>
      <c r="D3">
        <f>_xlfn.XLOOKUP(Table121158[[#This Row],[ACA Number]],Table127[NAT Number],Table127[run 1 points])</f>
        <v>999.99</v>
      </c>
      <c r="E3">
        <f>_xlfn.XLOOKUP(Table121158[[#This Row],[ACA Number]],Table127[NAT Number],Table127[run 2 points])</f>
        <v>422.15</v>
      </c>
      <c r="F3">
        <f>_xlfn.XLOOKUP(Table121158[[#This Row],[ACA Number]],Table12716[NAT Number],Table12716[run 1 points])</f>
        <v>999.99</v>
      </c>
      <c r="G3">
        <f>_xlfn.XLOOKUP(Table121158[[#This Row],[ACA Number]],Table12716[NAT Number],Table12716[run 2 points])</f>
        <v>448.6</v>
      </c>
      <c r="H3" t="e">
        <f>_xlfn.XLOOKUP(Table121158[[#This Row],[ACA Number]],Table12716313749617385[NAT Number],Table12716313749617385[run 1 points])</f>
        <v>#N/A</v>
      </c>
      <c r="I3" t="e">
        <f>_xlfn.XLOOKUP(Table121158[[#This Row],[ACA Number]],Table12716313749617385[NAT Number],Table12716313749617385[run 2 points])</f>
        <v>#N/A</v>
      </c>
      <c r="J3" cm="1">
        <f t="array" ref="J3">_xlfn.LET(_xlpm.r,Table121158[[#This Row],[PM SL1 R1]:[MF SL1 R2]],_xlpm.m,_xlfn.AGGREGATE(15,6,_xlpm.r/(_xlpm.r&lt;&gt;999.99),1),IFERROR(_xlpm.m,999.99))</f>
        <v>422.15</v>
      </c>
      <c r="L3">
        <v>108668</v>
      </c>
      <c r="M3" t="s">
        <v>647</v>
      </c>
      <c r="N3" t="s">
        <v>648</v>
      </c>
      <c r="O3" t="e">
        <f>_xlfn.XLOOKUP(Table122159[[#This Row],[ACA Number]],Table127163191[NAT Number],Table127163191[run 1 points])</f>
        <v>#N/A</v>
      </c>
      <c r="P3" t="e">
        <f>_xlfn.XLOOKUP(Table122159[[#This Row],[ACA Number]],Table122110193494[NAT Number],Table122110193494[run 1 points])</f>
        <v>#N/A</v>
      </c>
      <c r="Q3" cm="1">
        <f t="array" ref="Q3">_xlfn.LET(_xlpm.r,Table122159[[#This Row],[CM SG R1]:[CM SG R2]],_xlpm.m,_xlfn.AGGREGATE(15,6,_xlpm.r/(_xlpm.r&lt;&gt;999.99),1),IFERROR(_xlpm.m,999.99))</f>
        <v>999.99</v>
      </c>
      <c r="S3">
        <v>108668</v>
      </c>
      <c r="T3" t="s">
        <v>647</v>
      </c>
      <c r="U3" t="s">
        <v>648</v>
      </c>
      <c r="V3" t="e">
        <f>_xlfn.XLOOKUP(Table123160[[#This Row],[ACA Number]],Table127163137496173[NAT Number],Table127163137496173[run 1 points])</f>
        <v>#N/A</v>
      </c>
      <c r="W3" t="e">
        <f>_xlfn.XLOOKUP(Table123160[[#This Row],[ACA Number]],Table127163137496173[NAT Number],Table127163137496173[run 2 points])</f>
        <v>#N/A</v>
      </c>
      <c r="X3" t="e">
        <f>_xlfn.XLOOKUP(Table123160[[#This Row],[ACA Number]],Table127163137496173109[NAT Number],Table127163137496173109[run 1 points])</f>
        <v>#N/A</v>
      </c>
      <c r="Y3" t="e">
        <f>_xlfn.XLOOKUP(Table123160[[#This Row],[ACA Number]],Table127163137496173109[NAT Number],Table127163137496173109[run 2 points])</f>
        <v>#N/A</v>
      </c>
      <c r="Z3" t="e">
        <f>_xlfn.XLOOKUP(Table123160[[#This Row],[ACA Number]],Table127163137496173109115[NAT Number],Table127163137496173109115[run 1 points])</f>
        <v>#N/A</v>
      </c>
      <c r="AA3" t="e">
        <f>_xlfn.XLOOKUP(Table123160[[#This Row],[ACA Number]],Table127163137496173109115[NAT Number],Table127163137496173109115[run 2 points])</f>
        <v>#N/A</v>
      </c>
      <c r="AB3" cm="1">
        <f t="array" ref="AB3">_xlfn.LET(_xlpm.r,Table123160[[#This Row],[CM GS1 R1]:[MF GS R2]],_xlpm.m,_xlfn.AGGREGATE(15,6,_xlpm.r/(_xlpm.r&lt;&gt;999.99),1),IFERROR(_xlpm.m,999.99))</f>
        <v>999.99</v>
      </c>
      <c r="AD3">
        <v>108668</v>
      </c>
      <c r="AE3" t="s">
        <v>647</v>
      </c>
      <c r="AF3" t="s">
        <v>648</v>
      </c>
      <c r="AG3">
        <f>_xlfn.XLOOKUP(Table124161[[#This Row],[ACA Number]],Table127[NAT Number],Table127[TT race points])</f>
        <v>999.99</v>
      </c>
      <c r="AH3">
        <f>_xlfn.XLOOKUP(Table124161[[#This Row],[ACA Number]],Table12716[NAT Number],Table12716[TT race points])</f>
        <v>999.99</v>
      </c>
      <c r="AI3" t="e">
        <f>_xlfn.XLOOKUP(Table124161[[#This Row],[ACA Number]],Table12716313749617385[NAT Number],Table12716313749617385[TT race points])</f>
        <v>#N/A</v>
      </c>
      <c r="AJ3" cm="1">
        <f t="array" ref="AJ3">_xlfn.LET(_xlpm.r,Table124161[[#This Row],[PM SL1]:[MF SL]],_xlpm.m,_xlfn.AGGREGATE(15,6,_xlpm.r/(_xlpm.r&lt;&gt;999.99),1),IFERROR(_xlpm.m,999.99))</f>
        <v>999.99</v>
      </c>
      <c r="AK3" cm="1">
        <f t="array" ref="AK3">_xlfn.LET(_xlpm.r,Table124161[[#This Row],[PM SL1]:[MF SL]],_xlpm.m,_xlfn.AGGREGATE(15,6,_xlpm.r/(_xlpm.r&lt;&gt;999.99),2),IFERROR(_xlpm.m,999.99))</f>
        <v>999.99</v>
      </c>
      <c r="AM3">
        <v>108668</v>
      </c>
      <c r="AN3" t="s">
        <v>647</v>
      </c>
      <c r="AO3" t="s">
        <v>648</v>
      </c>
      <c r="AP3" t="e">
        <f>_xlfn.XLOOKUP(Table125162[[#This Row],[ACA Number]],Table127163137496173[NAT Number],Table127163137496173[TT race points])</f>
        <v>#N/A</v>
      </c>
      <c r="AQ3" t="e">
        <f>_xlfn.XLOOKUP(Table125162[[#This Row],[ACA Number]],Table127163137496173109[NAT Number],Table127163137496173109[TT race points])</f>
        <v>#N/A</v>
      </c>
      <c r="AR3" t="e">
        <f>_xlfn.XLOOKUP(Table125162[[#This Row],[ACA Number]],Table127163137496173109115[NAT Number],Table127163137496173109115[TT race points])</f>
        <v>#N/A</v>
      </c>
      <c r="AS3" cm="1">
        <f t="array" ref="AS3">_xlfn.LET(_xlpm.r,Table125162[[#This Row],[CM GS1]:[MF GS]],_xlpm.m,_xlfn.AGGREGATE(15,6,_xlpm.r/(_xlpm.r&lt;&gt;999.99),1),IFERROR(_xlpm.m,999.99))</f>
        <v>999.99</v>
      </c>
      <c r="AT3" cm="1">
        <f t="array" ref="AT3">_xlfn.LET(_xlpm.r,Table125162[[#This Row],[CM GS1]:[MF GS]],_xlpm.m,_xlfn.AGGREGATE(15,6,_xlpm.r/(_xlpm.r&lt;&gt;999.99),2),IFERROR(_xlpm.m,999.99))</f>
        <v>999.99</v>
      </c>
      <c r="AV3">
        <v>105181</v>
      </c>
      <c r="AW3" t="s">
        <v>657</v>
      </c>
      <c r="AX3" t="s">
        <v>648</v>
      </c>
      <c r="AY3">
        <f>_xlfn.XLOOKUP(Table126163[[#This Row],[ACA Number]],Table121158[ACA Number],Table121158[Best 1 run SL race])</f>
        <v>45.56</v>
      </c>
      <c r="AZ3">
        <f>_xlfn.XLOOKUP(Table126163[[#This Row],[ACA Number]],Table123160[ACA Number],Table123160[Best 1 Run])</f>
        <v>0</v>
      </c>
      <c r="BA3">
        <f>_xlfn.XLOOKUP(Table126163[[#This Row],[ACA Number]],Table122159[ACA Number],Table122159[Best 1 run GS Race])</f>
        <v>122.23</v>
      </c>
      <c r="BB3">
        <f>_xlfn.XLOOKUP(Table126163[[#This Row],[ACA Number]],Table124161[ACA Number],Table124161[Best result],)</f>
        <v>65.180000000000007</v>
      </c>
      <c r="BC3">
        <f>_xlfn.XLOOKUP(Table126163[[#This Row],[ACA Number]],Table124161[ACA Number],Table124161[2nd Best Result])</f>
        <v>80.709999999999994</v>
      </c>
      <c r="BD3">
        <f>_xlfn.XLOOKUP(Table126163[[#This Row],[ACA Number]],Table125162[ACA Number],Table125162[Best result])</f>
        <v>0</v>
      </c>
      <c r="BE3">
        <f>_xlfn.XLOOKUP(Table126163[[#This Row],[ACA Number]],Table125162[ACA Number],Table125162[2nd Best Result])</f>
        <v>28.01</v>
      </c>
      <c r="BF3">
        <f t="shared" ref="BF3:BF21" si="0">SUM(AY3:BE3)</f>
        <v>341.69</v>
      </c>
      <c r="BG3">
        <f>_xlfn.RANK.EQ(Table126163[[#This Row],[Total Points]],Table126163[Total Points],1)</f>
        <v>1</v>
      </c>
    </row>
    <row r="4" spans="1:59" x14ac:dyDescent="0.3">
      <c r="A4">
        <v>107305</v>
      </c>
      <c r="B4" t="s">
        <v>649</v>
      </c>
      <c r="C4" t="s">
        <v>648</v>
      </c>
      <c r="D4">
        <f>_xlfn.XLOOKUP(Table121158[[#This Row],[ACA Number]],Table127[NAT Number],Table127[run 1 points])</f>
        <v>29.63</v>
      </c>
      <c r="E4">
        <f>_xlfn.XLOOKUP(Table121158[[#This Row],[ACA Number]],Table127[NAT Number],Table127[run 2 points])</f>
        <v>999.99</v>
      </c>
      <c r="F4">
        <f>_xlfn.XLOOKUP(Table121158[[#This Row],[ACA Number]],Table12716[NAT Number],Table12716[run 1 points])</f>
        <v>0</v>
      </c>
      <c r="G4">
        <f>_xlfn.XLOOKUP(Table121158[[#This Row],[ACA Number]],Table12716[NAT Number],Table12716[run 2 points])</f>
        <v>53</v>
      </c>
      <c r="H4">
        <f>_xlfn.XLOOKUP(Table121158[[#This Row],[ACA Number]],Table12716313749617385[NAT Number],Table12716313749617385[run 1 points])</f>
        <v>0</v>
      </c>
      <c r="I4">
        <f>_xlfn.XLOOKUP(Table121158[[#This Row],[ACA Number]],Table12716313749617385[NAT Number],Table12716313749617385[run 2 points])</f>
        <v>0</v>
      </c>
      <c r="J4" cm="1">
        <f t="array" ref="J4">_xlfn.LET(_xlpm.r,Table121158[[#This Row],[PM SL1 R1]:[MF SL1 R2]],_xlpm.m,_xlfn.AGGREGATE(15,6,_xlpm.r/(_xlpm.r&lt;&gt;999.99),1),IFERROR(_xlpm.m,999.99))</f>
        <v>0</v>
      </c>
      <c r="L4">
        <v>107305</v>
      </c>
      <c r="M4" t="s">
        <v>649</v>
      </c>
      <c r="N4" t="s">
        <v>648</v>
      </c>
      <c r="O4">
        <f>_xlfn.XLOOKUP(Table122159[[#This Row],[ACA Number]],Table127163191[NAT Number],Table127163191[run 1 points])</f>
        <v>186.39</v>
      </c>
      <c r="P4">
        <f>_xlfn.XLOOKUP(Table122159[[#This Row],[ACA Number]],Table122110193494[NAT Number],Table122110193494[run 1 points])</f>
        <v>185.56</v>
      </c>
      <c r="Q4" cm="1">
        <f t="array" ref="Q4">_xlfn.LET(_xlpm.r,Table122159[[#This Row],[CM SG R1]:[CM SG R2]],_xlpm.m,_xlfn.AGGREGATE(15,6,_xlpm.r/(_xlpm.r&lt;&gt;999.99),1),IFERROR(_xlpm.m,999.99))</f>
        <v>185.56</v>
      </c>
      <c r="S4">
        <v>107305</v>
      </c>
      <c r="T4" t="s">
        <v>649</v>
      </c>
      <c r="U4" t="s">
        <v>648</v>
      </c>
      <c r="V4">
        <f>_xlfn.XLOOKUP(Table123160[[#This Row],[ACA Number]],Table127163137496173[NAT Number],Table127163137496173[run 1 points])</f>
        <v>999.99</v>
      </c>
      <c r="W4">
        <f>_xlfn.XLOOKUP(Table123160[[#This Row],[ACA Number]],Table127163137496173[NAT Number],Table127163137496173[run 2 points])</f>
        <v>19.95</v>
      </c>
      <c r="X4">
        <f>_xlfn.XLOOKUP(Table123160[[#This Row],[ACA Number]],Table127163137496173109[NAT Number],Table127163137496173109[run 1 points])</f>
        <v>131.25</v>
      </c>
      <c r="Y4">
        <f>_xlfn.XLOOKUP(Table123160[[#This Row],[ACA Number]],Table127163137496173109[NAT Number],Table127163137496173109[run 2 points])</f>
        <v>130.29</v>
      </c>
      <c r="Z4">
        <f>_xlfn.XLOOKUP(Table123160[[#This Row],[ACA Number]],Table127163137496173109115[NAT Number],Table127163137496173109115[run 1 points])</f>
        <v>41.01</v>
      </c>
      <c r="AA4">
        <f>_xlfn.XLOOKUP(Table123160[[#This Row],[ACA Number]],Table127163137496173109115[NAT Number],Table127163137496173109115[run 2 points])</f>
        <v>0</v>
      </c>
      <c r="AB4" cm="1">
        <f t="array" ref="AB4">_xlfn.LET(_xlpm.r,Table123160[[#This Row],[CM GS1 R1]:[MF GS R2]],_xlpm.m,_xlfn.AGGREGATE(15,6,_xlpm.r/(_xlpm.r&lt;&gt;999.99),1),IFERROR(_xlpm.m,999.99))</f>
        <v>0</v>
      </c>
      <c r="AD4">
        <v>107305</v>
      </c>
      <c r="AE4" t="s">
        <v>649</v>
      </c>
      <c r="AF4" t="s">
        <v>648</v>
      </c>
      <c r="AG4">
        <f>_xlfn.XLOOKUP(Table124161[[#This Row],[ACA Number]],Table127[NAT Number],Table127[TT race points])</f>
        <v>999.99</v>
      </c>
      <c r="AH4">
        <f>_xlfn.XLOOKUP(Table124161[[#This Row],[ACA Number]],Table12716[NAT Number],Table12716[TT race points])</f>
        <v>19.64</v>
      </c>
      <c r="AI4">
        <f>_xlfn.XLOOKUP(Table124161[[#This Row],[ACA Number]],Table12716313749617385[NAT Number],Table12716313749617385[TT race points])</f>
        <v>0</v>
      </c>
      <c r="AJ4" cm="1">
        <f t="array" ref="AJ4">_xlfn.LET(_xlpm.r,Table124161[[#This Row],[PM SL1]:[MF SL]],_xlpm.m,_xlfn.AGGREGATE(15,6,_xlpm.r/(_xlpm.r&lt;&gt;999.99),1),IFERROR(_xlpm.m,999.99))</f>
        <v>0</v>
      </c>
      <c r="AK4" cm="1">
        <f t="array" ref="AK4">_xlfn.LET(_xlpm.r,Table124161[[#This Row],[PM SL1]:[MF SL]],_xlpm.m,_xlfn.AGGREGATE(15,6,_xlpm.r/(_xlpm.r&lt;&gt;999.99),2),IFERROR(_xlpm.m,999.99))</f>
        <v>19.64</v>
      </c>
      <c r="AM4">
        <v>107305</v>
      </c>
      <c r="AN4" t="s">
        <v>649</v>
      </c>
      <c r="AO4" t="s">
        <v>648</v>
      </c>
      <c r="AP4">
        <f>_xlfn.XLOOKUP(Table125162[[#This Row],[ACA Number]],Table127163137496173[NAT Number],Table127163137496173[TT race points])</f>
        <v>999.99</v>
      </c>
      <c r="AQ4">
        <f>_xlfn.XLOOKUP(Table125162[[#This Row],[ACA Number]],Table127163137496173109[NAT Number],Table127163137496173109[TT race points])</f>
        <v>130.75</v>
      </c>
      <c r="AR4">
        <f>_xlfn.XLOOKUP(Table125162[[#This Row],[ACA Number]],Table127163137496173109115[NAT Number],Table127163137496173109115[TT race points])</f>
        <v>18.2</v>
      </c>
      <c r="AS4" cm="1">
        <f t="array" ref="AS4">_xlfn.LET(_xlpm.r,Table125162[[#This Row],[CM GS1]:[MF GS]],_xlpm.m,_xlfn.AGGREGATE(15,6,_xlpm.r/(_xlpm.r&lt;&gt;999.99),1),IFERROR(_xlpm.m,999.99))</f>
        <v>18.2</v>
      </c>
      <c r="AT4" cm="1">
        <f t="array" ref="AT4">_xlfn.LET(_xlpm.r,Table125162[[#This Row],[CM GS1]:[MF GS]],_xlpm.m,_xlfn.AGGREGATE(15,6,_xlpm.r/(_xlpm.r&lt;&gt;999.99),2),IFERROR(_xlpm.m,999.99))</f>
        <v>130.75</v>
      </c>
      <c r="AV4">
        <v>107305</v>
      </c>
      <c r="AW4" t="s">
        <v>649</v>
      </c>
      <c r="AX4" t="s">
        <v>648</v>
      </c>
      <c r="AY4">
        <f>_xlfn.XLOOKUP(Table126163[[#This Row],[ACA Number]],Table121158[ACA Number],Table121158[Best 1 run SL race])</f>
        <v>0</v>
      </c>
      <c r="AZ4">
        <f>_xlfn.XLOOKUP(Table126163[[#This Row],[ACA Number]],Table123160[ACA Number],Table123160[Best 1 Run])</f>
        <v>0</v>
      </c>
      <c r="BA4">
        <f>_xlfn.XLOOKUP(Table126163[[#This Row],[ACA Number]],Table122159[ACA Number],Table122159[Best 1 run GS Race])</f>
        <v>185.56</v>
      </c>
      <c r="BB4">
        <f>_xlfn.XLOOKUP(Table126163[[#This Row],[ACA Number]],Table124161[ACA Number],Table124161[Best result],)</f>
        <v>0</v>
      </c>
      <c r="BC4">
        <f>_xlfn.XLOOKUP(Table126163[[#This Row],[ACA Number]],Table124161[ACA Number],Table124161[2nd Best Result])</f>
        <v>19.64</v>
      </c>
      <c r="BD4">
        <f>_xlfn.XLOOKUP(Table126163[[#This Row],[ACA Number]],Table125162[ACA Number],Table125162[Best result])</f>
        <v>18.2</v>
      </c>
      <c r="BE4">
        <f>_xlfn.XLOOKUP(Table126163[[#This Row],[ACA Number]],Table125162[ACA Number],Table125162[2nd Best Result])</f>
        <v>130.75</v>
      </c>
      <c r="BF4">
        <f t="shared" si="0"/>
        <v>354.15</v>
      </c>
      <c r="BG4">
        <f>_xlfn.RANK.EQ(Table126163[[#This Row],[Total Points]],Table126163[Total Points],1)</f>
        <v>2</v>
      </c>
    </row>
    <row r="5" spans="1:59" x14ac:dyDescent="0.3">
      <c r="A5">
        <v>127391</v>
      </c>
      <c r="B5" t="s">
        <v>650</v>
      </c>
      <c r="C5" t="s">
        <v>648</v>
      </c>
      <c r="D5" t="e">
        <f>_xlfn.XLOOKUP(Table121158[[#This Row],[ACA Number]],Table127[NAT Number],Table127[run 1 points])</f>
        <v>#N/A</v>
      </c>
      <c r="E5" t="e">
        <f>_xlfn.XLOOKUP(Table121158[[#This Row],[ACA Number]],Table127[NAT Number],Table127[run 2 points])</f>
        <v>#N/A</v>
      </c>
      <c r="F5" t="e">
        <f>_xlfn.XLOOKUP(Table121158[[#This Row],[ACA Number]],Table12716[NAT Number],Table12716[run 1 points])</f>
        <v>#N/A</v>
      </c>
      <c r="G5" t="e">
        <f>_xlfn.XLOOKUP(Table121158[[#This Row],[ACA Number]],Table12716[NAT Number],Table12716[run 2 points])</f>
        <v>#N/A</v>
      </c>
      <c r="H5" t="e">
        <f>_xlfn.XLOOKUP(Table121158[[#This Row],[ACA Number]],Table12716313749617385[NAT Number],Table12716313749617385[run 1 points])</f>
        <v>#N/A</v>
      </c>
      <c r="I5" t="e">
        <f>_xlfn.XLOOKUP(Table121158[[#This Row],[ACA Number]],Table12716313749617385[NAT Number],Table12716313749617385[run 2 points])</f>
        <v>#N/A</v>
      </c>
      <c r="J5" cm="1">
        <f t="array" ref="J5">_xlfn.LET(_xlpm.r,Table121158[[#This Row],[PM SL1 R1]:[MF SL1 R2]],_xlpm.m,_xlfn.AGGREGATE(15,6,_xlpm.r/(_xlpm.r&lt;&gt;999.99),1),IFERROR(_xlpm.m,999.99))</f>
        <v>999.99</v>
      </c>
      <c r="L5">
        <v>127391</v>
      </c>
      <c r="M5" t="s">
        <v>650</v>
      </c>
      <c r="N5" t="s">
        <v>648</v>
      </c>
      <c r="O5" t="e">
        <f>_xlfn.XLOOKUP(Table122159[[#This Row],[ACA Number]],Table127163191[NAT Number],Table127163191[run 1 points])</f>
        <v>#N/A</v>
      </c>
      <c r="P5" t="e">
        <f>_xlfn.XLOOKUP(Table122159[[#This Row],[ACA Number]],Table122110193494[NAT Number],Table122110193494[run 1 points])</f>
        <v>#N/A</v>
      </c>
      <c r="Q5" cm="1">
        <f t="array" ref="Q5">_xlfn.LET(_xlpm.r,Table122159[[#This Row],[CM SG R1]:[CM SG R2]],_xlpm.m,_xlfn.AGGREGATE(15,6,_xlpm.r/(_xlpm.r&lt;&gt;999.99),1),IFERROR(_xlpm.m,999.99))</f>
        <v>999.99</v>
      </c>
      <c r="S5">
        <v>127391</v>
      </c>
      <c r="T5" t="s">
        <v>650</v>
      </c>
      <c r="U5" t="s">
        <v>648</v>
      </c>
      <c r="V5" t="e">
        <f>_xlfn.XLOOKUP(Table123160[[#This Row],[ACA Number]],Table127163137496173[NAT Number],Table127163137496173[run 1 points])</f>
        <v>#N/A</v>
      </c>
      <c r="W5" t="e">
        <f>_xlfn.XLOOKUP(Table123160[[#This Row],[ACA Number]],Table127163137496173[NAT Number],Table127163137496173[run 2 points])</f>
        <v>#N/A</v>
      </c>
      <c r="X5" t="e">
        <f>_xlfn.XLOOKUP(Table123160[[#This Row],[ACA Number]],Table127163137496173109[NAT Number],Table127163137496173109[run 1 points])</f>
        <v>#N/A</v>
      </c>
      <c r="Y5" t="e">
        <f>_xlfn.XLOOKUP(Table123160[[#This Row],[ACA Number]],Table127163137496173109[NAT Number],Table127163137496173109[run 2 points])</f>
        <v>#N/A</v>
      </c>
      <c r="Z5" t="e">
        <f>_xlfn.XLOOKUP(Table123160[[#This Row],[ACA Number]],Table127163137496173109115[NAT Number],Table127163137496173109115[run 1 points])</f>
        <v>#N/A</v>
      </c>
      <c r="AA5" t="e">
        <f>_xlfn.XLOOKUP(Table123160[[#This Row],[ACA Number]],Table127163137496173109115[NAT Number],Table127163137496173109115[run 2 points])</f>
        <v>#N/A</v>
      </c>
      <c r="AB5" cm="1">
        <f t="array" ref="AB5">_xlfn.LET(_xlpm.r,Table123160[[#This Row],[CM GS1 R1]:[MF GS R2]],_xlpm.m,_xlfn.AGGREGATE(15,6,_xlpm.r/(_xlpm.r&lt;&gt;999.99),1),IFERROR(_xlpm.m,999.99))</f>
        <v>999.99</v>
      </c>
      <c r="AD5">
        <v>127391</v>
      </c>
      <c r="AE5" t="s">
        <v>650</v>
      </c>
      <c r="AF5" t="s">
        <v>648</v>
      </c>
      <c r="AG5" t="e">
        <f>_xlfn.XLOOKUP(Table124161[[#This Row],[ACA Number]],Table127[NAT Number],Table127[TT race points])</f>
        <v>#N/A</v>
      </c>
      <c r="AH5" t="e">
        <f>_xlfn.XLOOKUP(Table124161[[#This Row],[ACA Number]],Table12716[NAT Number],Table12716[TT race points])</f>
        <v>#N/A</v>
      </c>
      <c r="AI5" t="e">
        <f>_xlfn.XLOOKUP(Table124161[[#This Row],[ACA Number]],Table12716313749617385[NAT Number],Table12716313749617385[TT race points])</f>
        <v>#N/A</v>
      </c>
      <c r="AJ5" cm="1">
        <f t="array" ref="AJ5">_xlfn.LET(_xlpm.r,Table124161[[#This Row],[PM SL1]:[MF SL]],_xlpm.m,_xlfn.AGGREGATE(15,6,_xlpm.r/(_xlpm.r&lt;&gt;999.99),1),IFERROR(_xlpm.m,999.99))</f>
        <v>999.99</v>
      </c>
      <c r="AK5" cm="1">
        <f t="array" ref="AK5">_xlfn.LET(_xlpm.r,Table124161[[#This Row],[PM SL1]:[MF SL]],_xlpm.m,_xlfn.AGGREGATE(15,6,_xlpm.r/(_xlpm.r&lt;&gt;999.99),2),IFERROR(_xlpm.m,999.99))</f>
        <v>999.99</v>
      </c>
      <c r="AM5">
        <v>127391</v>
      </c>
      <c r="AN5" t="s">
        <v>650</v>
      </c>
      <c r="AO5" t="s">
        <v>648</v>
      </c>
      <c r="AP5" t="e">
        <f>_xlfn.XLOOKUP(Table125162[[#This Row],[ACA Number]],Table127163137496173[NAT Number],Table127163137496173[TT race points])</f>
        <v>#N/A</v>
      </c>
      <c r="AQ5" t="e">
        <f>_xlfn.XLOOKUP(Table125162[[#This Row],[ACA Number]],Table127163137496173109[NAT Number],Table127163137496173109[TT race points])</f>
        <v>#N/A</v>
      </c>
      <c r="AR5" t="e">
        <f>_xlfn.XLOOKUP(Table125162[[#This Row],[ACA Number]],Table127163137496173109115[NAT Number],Table127163137496173109115[TT race points])</f>
        <v>#N/A</v>
      </c>
      <c r="AS5" cm="1">
        <f t="array" ref="AS5">_xlfn.LET(_xlpm.r,Table125162[[#This Row],[CM GS1]:[MF GS]],_xlpm.m,_xlfn.AGGREGATE(15,6,_xlpm.r/(_xlpm.r&lt;&gt;999.99),1),IFERROR(_xlpm.m,999.99))</f>
        <v>999.99</v>
      </c>
      <c r="AT5" cm="1">
        <f t="array" ref="AT5">_xlfn.LET(_xlpm.r,Table125162[[#This Row],[CM GS1]:[MF GS]],_xlpm.m,_xlfn.AGGREGATE(15,6,_xlpm.r/(_xlpm.r&lt;&gt;999.99),2),IFERROR(_xlpm.m,999.99))</f>
        <v>999.99</v>
      </c>
      <c r="AV5">
        <v>122060</v>
      </c>
      <c r="AW5" t="s">
        <v>664</v>
      </c>
      <c r="AX5" t="s">
        <v>648</v>
      </c>
      <c r="AY5">
        <f>_xlfn.XLOOKUP(Table126163[[#This Row],[ACA Number]],Table121158[ACA Number],Table121158[Best 1 run SL race])</f>
        <v>42.65</v>
      </c>
      <c r="AZ5">
        <f>_xlfn.XLOOKUP(Table126163[[#This Row],[ACA Number]],Table123160[ACA Number],Table123160[Best 1 Run])</f>
        <v>18.37</v>
      </c>
      <c r="BA5">
        <f>_xlfn.XLOOKUP(Table126163[[#This Row],[ACA Number]],Table122159[ACA Number],Table122159[Best 1 run GS Race])</f>
        <v>142.6</v>
      </c>
      <c r="BB5">
        <f>_xlfn.XLOOKUP(Table126163[[#This Row],[ACA Number]],Table124161[ACA Number],Table124161[Best result],)</f>
        <v>49.12</v>
      </c>
      <c r="BC5">
        <f>_xlfn.XLOOKUP(Table126163[[#This Row],[ACA Number]],Table124161[ACA Number],Table124161[2nd Best Result])</f>
        <v>110.81</v>
      </c>
      <c r="BD5">
        <f>_xlfn.XLOOKUP(Table126163[[#This Row],[ACA Number]],Table125162[ACA Number],Table125162[Best result])</f>
        <v>50.73</v>
      </c>
      <c r="BE5">
        <f>_xlfn.XLOOKUP(Table126163[[#This Row],[ACA Number]],Table125162[ACA Number],Table125162[2nd Best Result])</f>
        <v>123.08</v>
      </c>
      <c r="BF5">
        <f t="shared" si="0"/>
        <v>537.36</v>
      </c>
      <c r="BG5">
        <f>_xlfn.RANK.EQ(Table126163[[#This Row],[Total Points]],Table126163[Total Points],1)</f>
        <v>3</v>
      </c>
    </row>
    <row r="6" spans="1:59" x14ac:dyDescent="0.3">
      <c r="A6">
        <v>102726</v>
      </c>
      <c r="B6" t="s">
        <v>651</v>
      </c>
      <c r="C6" t="s">
        <v>648</v>
      </c>
      <c r="D6">
        <f>_xlfn.XLOOKUP(Table121158[[#This Row],[ACA Number]],Table127[NAT Number],Table127[run 1 points])</f>
        <v>230.24</v>
      </c>
      <c r="E6">
        <f>_xlfn.XLOOKUP(Table121158[[#This Row],[ACA Number]],Table127[NAT Number],Table127[run 2 points])</f>
        <v>999.99</v>
      </c>
      <c r="F6">
        <f>_xlfn.XLOOKUP(Table121158[[#This Row],[ACA Number]],Table12716[NAT Number],Table12716[run 1 points])</f>
        <v>199.61</v>
      </c>
      <c r="G6">
        <f>_xlfn.XLOOKUP(Table121158[[#This Row],[ACA Number]],Table12716[NAT Number],Table12716[run 2 points])</f>
        <v>140.22</v>
      </c>
      <c r="H6">
        <f>_xlfn.XLOOKUP(Table121158[[#This Row],[ACA Number]],Table12716313749617385[NAT Number],Table12716313749617385[run 1 points])</f>
        <v>61.73</v>
      </c>
      <c r="I6">
        <f>_xlfn.XLOOKUP(Table121158[[#This Row],[ACA Number]],Table12716313749617385[NAT Number],Table12716313749617385[run 2 points])</f>
        <v>999.99</v>
      </c>
      <c r="J6" cm="1">
        <f t="array" ref="J6">_xlfn.LET(_xlpm.r,Table121158[[#This Row],[PM SL1 R1]:[MF SL1 R2]],_xlpm.m,_xlfn.AGGREGATE(15,6,_xlpm.r/(_xlpm.r&lt;&gt;999.99),1),IFERROR(_xlpm.m,999.99))</f>
        <v>61.73</v>
      </c>
      <c r="L6">
        <v>102726</v>
      </c>
      <c r="M6" t="s">
        <v>651</v>
      </c>
      <c r="N6" t="s">
        <v>648</v>
      </c>
      <c r="O6">
        <f>_xlfn.XLOOKUP(Table122159[[#This Row],[ACA Number]],Table127163191[NAT Number],Table127163191[run 1 points])</f>
        <v>204.66</v>
      </c>
      <c r="P6">
        <f>_xlfn.XLOOKUP(Table122159[[#This Row],[ACA Number]],Table122110193494[NAT Number],Table122110193494[run 1 points])</f>
        <v>231.02</v>
      </c>
      <c r="Q6" cm="1">
        <f t="array" ref="Q6">_xlfn.LET(_xlpm.r,Table122159[[#This Row],[CM SG R1]:[CM SG R2]],_xlpm.m,_xlfn.AGGREGATE(15,6,_xlpm.r/(_xlpm.r&lt;&gt;999.99),1),IFERROR(_xlpm.m,999.99))</f>
        <v>204.66</v>
      </c>
      <c r="S6">
        <v>102726</v>
      </c>
      <c r="T6" t="s">
        <v>651</v>
      </c>
      <c r="U6" t="s">
        <v>648</v>
      </c>
      <c r="V6">
        <f>_xlfn.XLOOKUP(Table123160[[#This Row],[ACA Number]],Table127163137496173[NAT Number],Table127163137496173[run 1 points])</f>
        <v>98.39</v>
      </c>
      <c r="W6">
        <f>_xlfn.XLOOKUP(Table123160[[#This Row],[ACA Number]],Table127163137496173[NAT Number],Table127163137496173[run 2 points])</f>
        <v>72.040000000000006</v>
      </c>
      <c r="X6">
        <f>_xlfn.XLOOKUP(Table123160[[#This Row],[ACA Number]],Table127163137496173109[NAT Number],Table127163137496173109[run 1 points])</f>
        <v>200.33</v>
      </c>
      <c r="Y6">
        <f>_xlfn.XLOOKUP(Table123160[[#This Row],[ACA Number]],Table127163137496173109[NAT Number],Table127163137496173109[run 2 points])</f>
        <v>164.84</v>
      </c>
      <c r="Z6">
        <f>_xlfn.XLOOKUP(Table123160[[#This Row],[ACA Number]],Table127163137496173109115[NAT Number],Table127163137496173109115[run 1 points])</f>
        <v>22.83</v>
      </c>
      <c r="AA6">
        <f>_xlfn.XLOOKUP(Table123160[[#This Row],[ACA Number]],Table127163137496173109115[NAT Number],Table127163137496173109115[run 2 points])</f>
        <v>4.92</v>
      </c>
      <c r="AB6" cm="1">
        <f t="array" ref="AB6">_xlfn.LET(_xlpm.r,Table123160[[#This Row],[CM GS1 R1]:[MF GS R2]],_xlpm.m,_xlfn.AGGREGATE(15,6,_xlpm.r/(_xlpm.r&lt;&gt;999.99),1),IFERROR(_xlpm.m,999.99))</f>
        <v>4.92</v>
      </c>
      <c r="AD6">
        <v>102726</v>
      </c>
      <c r="AE6" t="s">
        <v>651</v>
      </c>
      <c r="AF6" t="s">
        <v>648</v>
      </c>
      <c r="AG6">
        <f>_xlfn.XLOOKUP(Table124161[[#This Row],[ACA Number]],Table127[NAT Number],Table127[TT race points])</f>
        <v>999.99</v>
      </c>
      <c r="AH6">
        <f>_xlfn.XLOOKUP(Table124161[[#This Row],[ACA Number]],Table12716[NAT Number],Table12716[TT race points])</f>
        <v>162.31</v>
      </c>
      <c r="AI6">
        <f>_xlfn.XLOOKUP(Table124161[[#This Row],[ACA Number]],Table12716313749617385[NAT Number],Table12716313749617385[TT race points])</f>
        <v>999.99</v>
      </c>
      <c r="AJ6" cm="1">
        <f t="array" ref="AJ6">_xlfn.LET(_xlpm.r,Table124161[[#This Row],[PM SL1]:[MF SL]],_xlpm.m,_xlfn.AGGREGATE(15,6,_xlpm.r/(_xlpm.r&lt;&gt;999.99),1),IFERROR(_xlpm.m,999.99))</f>
        <v>162.31</v>
      </c>
      <c r="AK6" cm="1">
        <f t="array" ref="AK6">_xlfn.LET(_xlpm.r,Table124161[[#This Row],[PM SL1]:[MF SL]],_xlpm.m,_xlfn.AGGREGATE(15,6,_xlpm.r/(_xlpm.r&lt;&gt;999.99),2),IFERROR(_xlpm.m,999.99))</f>
        <v>999.99</v>
      </c>
      <c r="AM6">
        <v>102726</v>
      </c>
      <c r="AN6" t="s">
        <v>651</v>
      </c>
      <c r="AO6" t="s">
        <v>648</v>
      </c>
      <c r="AP6">
        <f>_xlfn.XLOOKUP(Table125162[[#This Row],[ACA Number]],Table127163137496173[NAT Number],Table127163137496173[TT race points])</f>
        <v>81.83</v>
      </c>
      <c r="AQ6">
        <f>_xlfn.XLOOKUP(Table125162[[#This Row],[ACA Number]],Table127163137496173109[NAT Number],Table127163137496173109[TT race points])</f>
        <v>181.77</v>
      </c>
      <c r="AR6">
        <f>_xlfn.XLOOKUP(Table125162[[#This Row],[ACA Number]],Table127163137496173109115[NAT Number],Table127163137496173109115[TT race points])</f>
        <v>11.74</v>
      </c>
      <c r="AS6" cm="1">
        <f t="array" ref="AS6">_xlfn.LET(_xlpm.r,Table125162[[#This Row],[CM GS1]:[MF GS]],_xlpm.m,_xlfn.AGGREGATE(15,6,_xlpm.r/(_xlpm.r&lt;&gt;999.99),1),IFERROR(_xlpm.m,999.99))</f>
        <v>11.74</v>
      </c>
      <c r="AT6" cm="1">
        <f t="array" ref="AT6">_xlfn.LET(_xlpm.r,Table125162[[#This Row],[CM GS1]:[MF GS]],_xlpm.m,_xlfn.AGGREGATE(15,6,_xlpm.r/(_xlpm.r&lt;&gt;999.99),2),IFERROR(_xlpm.m,999.99))</f>
        <v>81.83</v>
      </c>
      <c r="AV6">
        <v>117686</v>
      </c>
      <c r="AW6" t="s">
        <v>653</v>
      </c>
      <c r="AX6" t="s">
        <v>648</v>
      </c>
      <c r="AY6">
        <f>_xlfn.XLOOKUP(Table126163[[#This Row],[ACA Number]],Table121158[ACA Number],Table121158[Best 1 run SL race])</f>
        <v>77.53</v>
      </c>
      <c r="AZ6">
        <f>_xlfn.XLOOKUP(Table126163[[#This Row],[ACA Number]],Table123160[ACA Number],Table123160[Best 1 Run])</f>
        <v>35.020000000000003</v>
      </c>
      <c r="BA6">
        <f>_xlfn.XLOOKUP(Table126163[[#This Row],[ACA Number]],Table122159[ACA Number],Table122159[Best 1 run GS Race])</f>
        <v>201.26</v>
      </c>
      <c r="BB6">
        <f>_xlfn.XLOOKUP(Table126163[[#This Row],[ACA Number]],Table124161[ACA Number],Table124161[Best result],)</f>
        <v>81.25</v>
      </c>
      <c r="BC6">
        <f>_xlfn.XLOOKUP(Table126163[[#This Row],[ACA Number]],Table124161[ACA Number],Table124161[2nd Best Result])</f>
        <v>129.41999999999999</v>
      </c>
      <c r="BD6">
        <f>_xlfn.XLOOKUP(Table126163[[#This Row],[ACA Number]],Table125162[ACA Number],Table125162[Best result])</f>
        <v>48.74</v>
      </c>
      <c r="BE6">
        <f>_xlfn.XLOOKUP(Table126163[[#This Row],[ACA Number]],Table125162[ACA Number],Table125162[2nd Best Result])</f>
        <v>116.63</v>
      </c>
      <c r="BF6">
        <f t="shared" si="0"/>
        <v>689.85</v>
      </c>
      <c r="BG6">
        <f>_xlfn.RANK.EQ(Table126163[[#This Row],[Total Points]],Table126163[Total Points],1)</f>
        <v>4</v>
      </c>
    </row>
    <row r="7" spans="1:59" x14ac:dyDescent="0.3">
      <c r="A7">
        <v>127410</v>
      </c>
      <c r="B7" t="s">
        <v>652</v>
      </c>
      <c r="C7" t="s">
        <v>648</v>
      </c>
      <c r="D7" t="e">
        <f>_xlfn.XLOOKUP(Table121158[[#This Row],[ACA Number]],Table127[NAT Number],Table127[run 1 points])</f>
        <v>#N/A</v>
      </c>
      <c r="E7" t="e">
        <f>_xlfn.XLOOKUP(Table121158[[#This Row],[ACA Number]],Table127[NAT Number],Table127[run 2 points])</f>
        <v>#N/A</v>
      </c>
      <c r="F7" t="e">
        <f>_xlfn.XLOOKUP(Table121158[[#This Row],[ACA Number]],Table12716[NAT Number],Table12716[run 1 points])</f>
        <v>#N/A</v>
      </c>
      <c r="G7" t="e">
        <f>_xlfn.XLOOKUP(Table121158[[#This Row],[ACA Number]],Table12716[NAT Number],Table12716[run 2 points])</f>
        <v>#N/A</v>
      </c>
      <c r="H7" t="e">
        <f>_xlfn.XLOOKUP(Table121158[[#This Row],[ACA Number]],Table12716313749617385[NAT Number],Table12716313749617385[run 1 points])</f>
        <v>#N/A</v>
      </c>
      <c r="I7" t="e">
        <f>_xlfn.XLOOKUP(Table121158[[#This Row],[ACA Number]],Table12716313749617385[NAT Number],Table12716313749617385[run 2 points])</f>
        <v>#N/A</v>
      </c>
      <c r="J7" cm="1">
        <f t="array" ref="J7">_xlfn.LET(_xlpm.r,Table121158[[#This Row],[PM SL1 R1]:[MF SL1 R2]],_xlpm.m,_xlfn.AGGREGATE(15,6,_xlpm.r/(_xlpm.r&lt;&gt;999.99),1),IFERROR(_xlpm.m,999.99))</f>
        <v>999.99</v>
      </c>
      <c r="L7">
        <v>127410</v>
      </c>
      <c r="M7" t="s">
        <v>652</v>
      </c>
      <c r="N7" t="s">
        <v>648</v>
      </c>
      <c r="O7" t="e">
        <f>_xlfn.XLOOKUP(Table122159[[#This Row],[ACA Number]],Table127163191[NAT Number],Table127163191[run 1 points])</f>
        <v>#N/A</v>
      </c>
      <c r="P7" t="e">
        <f>_xlfn.XLOOKUP(Table122159[[#This Row],[ACA Number]],Table122110193494[NAT Number],Table122110193494[run 1 points])</f>
        <v>#N/A</v>
      </c>
      <c r="Q7" cm="1">
        <f t="array" ref="Q7">_xlfn.LET(_xlpm.r,Table122159[[#This Row],[CM SG R1]:[CM SG R2]],_xlpm.m,_xlfn.AGGREGATE(15,6,_xlpm.r/(_xlpm.r&lt;&gt;999.99),1),IFERROR(_xlpm.m,999.99))</f>
        <v>999.99</v>
      </c>
      <c r="S7">
        <v>127410</v>
      </c>
      <c r="T7" t="s">
        <v>652</v>
      </c>
      <c r="U7" t="s">
        <v>648</v>
      </c>
      <c r="V7" t="e">
        <f>_xlfn.XLOOKUP(Table123160[[#This Row],[ACA Number]],Table127163137496173[NAT Number],Table127163137496173[run 1 points])</f>
        <v>#N/A</v>
      </c>
      <c r="W7" t="e">
        <f>_xlfn.XLOOKUP(Table123160[[#This Row],[ACA Number]],Table127163137496173[NAT Number],Table127163137496173[run 2 points])</f>
        <v>#N/A</v>
      </c>
      <c r="X7" t="e">
        <f>_xlfn.XLOOKUP(Table123160[[#This Row],[ACA Number]],Table127163137496173109[NAT Number],Table127163137496173109[run 1 points])</f>
        <v>#N/A</v>
      </c>
      <c r="Y7" t="e">
        <f>_xlfn.XLOOKUP(Table123160[[#This Row],[ACA Number]],Table127163137496173109[NAT Number],Table127163137496173109[run 2 points])</f>
        <v>#N/A</v>
      </c>
      <c r="Z7" t="e">
        <f>_xlfn.XLOOKUP(Table123160[[#This Row],[ACA Number]],Table127163137496173109115[NAT Number],Table127163137496173109115[run 1 points])</f>
        <v>#N/A</v>
      </c>
      <c r="AA7" t="e">
        <f>_xlfn.XLOOKUP(Table123160[[#This Row],[ACA Number]],Table127163137496173109115[NAT Number],Table127163137496173109115[run 2 points])</f>
        <v>#N/A</v>
      </c>
      <c r="AB7" cm="1">
        <f t="array" ref="AB7">_xlfn.LET(_xlpm.r,Table123160[[#This Row],[CM GS1 R1]:[MF GS R2]],_xlpm.m,_xlfn.AGGREGATE(15,6,_xlpm.r/(_xlpm.r&lt;&gt;999.99),1),IFERROR(_xlpm.m,999.99))</f>
        <v>999.99</v>
      </c>
      <c r="AD7">
        <v>127410</v>
      </c>
      <c r="AE7" t="s">
        <v>652</v>
      </c>
      <c r="AF7" t="s">
        <v>648</v>
      </c>
      <c r="AG7" t="e">
        <f>_xlfn.XLOOKUP(Table124161[[#This Row],[ACA Number]],Table127[NAT Number],Table127[TT race points])</f>
        <v>#N/A</v>
      </c>
      <c r="AH7" t="e">
        <f>_xlfn.XLOOKUP(Table124161[[#This Row],[ACA Number]],Table12716[NAT Number],Table12716[TT race points])</f>
        <v>#N/A</v>
      </c>
      <c r="AI7" t="e">
        <f>_xlfn.XLOOKUP(Table124161[[#This Row],[ACA Number]],Table12716313749617385[NAT Number],Table12716313749617385[TT race points])</f>
        <v>#N/A</v>
      </c>
      <c r="AJ7" cm="1">
        <f t="array" ref="AJ7">_xlfn.LET(_xlpm.r,Table124161[[#This Row],[PM SL1]:[MF SL]],_xlpm.m,_xlfn.AGGREGATE(15,6,_xlpm.r/(_xlpm.r&lt;&gt;999.99),1),IFERROR(_xlpm.m,999.99))</f>
        <v>999.99</v>
      </c>
      <c r="AK7" cm="1">
        <f t="array" ref="AK7">_xlfn.LET(_xlpm.r,Table124161[[#This Row],[PM SL1]:[MF SL]],_xlpm.m,_xlfn.AGGREGATE(15,6,_xlpm.r/(_xlpm.r&lt;&gt;999.99),2),IFERROR(_xlpm.m,999.99))</f>
        <v>999.99</v>
      </c>
      <c r="AM7">
        <v>127410</v>
      </c>
      <c r="AN7" t="s">
        <v>652</v>
      </c>
      <c r="AO7" t="s">
        <v>648</v>
      </c>
      <c r="AP7" t="e">
        <f>_xlfn.XLOOKUP(Table125162[[#This Row],[ACA Number]],Table127163137496173[NAT Number],Table127163137496173[TT race points])</f>
        <v>#N/A</v>
      </c>
      <c r="AQ7" t="e">
        <f>_xlfn.XLOOKUP(Table125162[[#This Row],[ACA Number]],Table127163137496173109[NAT Number],Table127163137496173109[TT race points])</f>
        <v>#N/A</v>
      </c>
      <c r="AR7" t="e">
        <f>_xlfn.XLOOKUP(Table125162[[#This Row],[ACA Number]],Table127163137496173109115[NAT Number],Table127163137496173109115[TT race points])</f>
        <v>#N/A</v>
      </c>
      <c r="AS7" cm="1">
        <f t="array" ref="AS7">_xlfn.LET(_xlpm.r,Table125162[[#This Row],[CM GS1]:[MF GS]],_xlpm.m,_xlfn.AGGREGATE(15,6,_xlpm.r/(_xlpm.r&lt;&gt;999.99),1),IFERROR(_xlpm.m,999.99))</f>
        <v>999.99</v>
      </c>
      <c r="AT7" cm="1">
        <f t="array" ref="AT7">_xlfn.LET(_xlpm.r,Table125162[[#This Row],[CM GS1]:[MF GS]],_xlpm.m,_xlfn.AGGREGATE(15,6,_xlpm.r/(_xlpm.r&lt;&gt;999.99),2),IFERROR(_xlpm.m,999.99))</f>
        <v>999.99</v>
      </c>
      <c r="AV7">
        <v>117684</v>
      </c>
      <c r="AW7" t="s">
        <v>659</v>
      </c>
      <c r="AX7" t="s">
        <v>648</v>
      </c>
      <c r="AY7">
        <f>_xlfn.XLOOKUP(Table126163[[#This Row],[ACA Number]],Table121158[ACA Number],Table121158[Best 1 run SL race])</f>
        <v>68.849999999999994</v>
      </c>
      <c r="AZ7">
        <f>_xlfn.XLOOKUP(Table126163[[#This Row],[ACA Number]],Table123160[ACA Number],Table123160[Best 1 Run])</f>
        <v>60</v>
      </c>
      <c r="BA7">
        <f>_xlfn.XLOOKUP(Table126163[[#This Row],[ACA Number]],Table122159[ACA Number],Table122159[Best 1 run GS Race])</f>
        <v>196.69</v>
      </c>
      <c r="BB7">
        <f>_xlfn.XLOOKUP(Table126163[[#This Row],[ACA Number]],Table124161[ACA Number],Table124161[Best result],)</f>
        <v>123.27</v>
      </c>
      <c r="BC7">
        <f>_xlfn.XLOOKUP(Table126163[[#This Row],[ACA Number]],Table124161[ACA Number],Table124161[2nd Best Result])</f>
        <v>153.63999999999999</v>
      </c>
      <c r="BD7">
        <f>_xlfn.XLOOKUP(Table126163[[#This Row],[ACA Number]],Table125162[ACA Number],Table125162[Best result])</f>
        <v>92.61</v>
      </c>
      <c r="BE7">
        <f>_xlfn.XLOOKUP(Table126163[[#This Row],[ACA Number]],Table125162[ACA Number],Table125162[2nd Best Result])</f>
        <v>155.81</v>
      </c>
      <c r="BF7">
        <f t="shared" si="0"/>
        <v>850.86999999999989</v>
      </c>
      <c r="BG7">
        <f>_xlfn.RANK.EQ(Table126163[[#This Row],[Total Points]],Table126163[Total Points],1)</f>
        <v>5</v>
      </c>
    </row>
    <row r="8" spans="1:59" x14ac:dyDescent="0.3">
      <c r="A8">
        <v>117686</v>
      </c>
      <c r="B8" t="s">
        <v>653</v>
      </c>
      <c r="C8" t="s">
        <v>648</v>
      </c>
      <c r="D8">
        <f>_xlfn.XLOOKUP(Table121158[[#This Row],[ACA Number]],Table127[NAT Number],Table127[run 1 points])</f>
        <v>176.63</v>
      </c>
      <c r="E8">
        <f>_xlfn.XLOOKUP(Table121158[[#This Row],[ACA Number]],Table127[NAT Number],Table127[run 2 points])</f>
        <v>999.99</v>
      </c>
      <c r="F8">
        <f>_xlfn.XLOOKUP(Table121158[[#This Row],[ACA Number]],Table12716[NAT Number],Table12716[run 1 points])</f>
        <v>127.71</v>
      </c>
      <c r="G8">
        <f>_xlfn.XLOOKUP(Table121158[[#This Row],[ACA Number]],Table12716[NAT Number],Table12716[run 2 points])</f>
        <v>146.47999999999999</v>
      </c>
      <c r="H8">
        <f>_xlfn.XLOOKUP(Table121158[[#This Row],[ACA Number]],Table12716313749617385[NAT Number],Table12716313749617385[run 1 points])</f>
        <v>77.53</v>
      </c>
      <c r="I8">
        <f>_xlfn.XLOOKUP(Table121158[[#This Row],[ACA Number]],Table12716313749617385[NAT Number],Table12716313749617385[run 2 points])</f>
        <v>84.57</v>
      </c>
      <c r="J8" cm="1">
        <f t="array" ref="J8">_xlfn.LET(_xlpm.r,Table121158[[#This Row],[PM SL1 R1]:[MF SL1 R2]],_xlpm.m,_xlfn.AGGREGATE(15,6,_xlpm.r/(_xlpm.r&lt;&gt;999.99),1),IFERROR(_xlpm.m,999.99))</f>
        <v>77.53</v>
      </c>
      <c r="L8">
        <v>117686</v>
      </c>
      <c r="M8" t="s">
        <v>653</v>
      </c>
      <c r="N8" t="s">
        <v>648</v>
      </c>
      <c r="O8">
        <f>_xlfn.XLOOKUP(Table122159[[#This Row],[ACA Number]],Table127163191[NAT Number],Table127163191[run 1 points])</f>
        <v>225.26</v>
      </c>
      <c r="P8">
        <f>_xlfn.XLOOKUP(Table122159[[#This Row],[ACA Number]],Table122110193494[NAT Number],Table122110193494[run 1 points])</f>
        <v>201.26</v>
      </c>
      <c r="Q8" cm="1">
        <f t="array" ref="Q8">_xlfn.LET(_xlpm.r,Table122159[[#This Row],[CM SG R1]:[CM SG R2]],_xlpm.m,_xlfn.AGGREGATE(15,6,_xlpm.r/(_xlpm.r&lt;&gt;999.99),1),IFERROR(_xlpm.m,999.99))</f>
        <v>201.26</v>
      </c>
      <c r="S8">
        <v>117686</v>
      </c>
      <c r="T8" t="s">
        <v>653</v>
      </c>
      <c r="U8" t="s">
        <v>648</v>
      </c>
      <c r="V8">
        <f>_xlfn.XLOOKUP(Table123160[[#This Row],[ACA Number]],Table127163137496173[NAT Number],Table127163137496173[run 1 points])</f>
        <v>142.04</v>
      </c>
      <c r="W8">
        <f>_xlfn.XLOOKUP(Table123160[[#This Row],[ACA Number]],Table127163137496173[NAT Number],Table127163137496173[run 2 points])</f>
        <v>98.02</v>
      </c>
      <c r="X8">
        <f>_xlfn.XLOOKUP(Table123160[[#This Row],[ACA Number]],Table127163137496173109[NAT Number],Table127163137496173109[run 1 points])</f>
        <v>196.72</v>
      </c>
      <c r="Y8">
        <f>_xlfn.XLOOKUP(Table123160[[#This Row],[ACA Number]],Table127163137496173109[NAT Number],Table127163137496173109[run 2 points])</f>
        <v>184.29</v>
      </c>
      <c r="Z8">
        <f>_xlfn.XLOOKUP(Table123160[[#This Row],[ACA Number]],Table127163137496173109115[NAT Number],Table127163137496173109115[run 1 points])</f>
        <v>67.08</v>
      </c>
      <c r="AA8">
        <f>_xlfn.XLOOKUP(Table123160[[#This Row],[ACA Number]],Table127163137496173109115[NAT Number],Table127163137496173109115[run 2 points])</f>
        <v>35.020000000000003</v>
      </c>
      <c r="AB8" cm="1">
        <f t="array" ref="AB8">_xlfn.LET(_xlpm.r,Table123160[[#This Row],[CM GS1 R1]:[MF GS R2]],_xlpm.m,_xlfn.AGGREGATE(15,6,_xlpm.r/(_xlpm.r&lt;&gt;999.99),1),IFERROR(_xlpm.m,999.99))</f>
        <v>35.020000000000003</v>
      </c>
      <c r="AD8">
        <v>117686</v>
      </c>
      <c r="AE8" t="s">
        <v>653</v>
      </c>
      <c r="AF8" t="s">
        <v>648</v>
      </c>
      <c r="AG8">
        <f>_xlfn.XLOOKUP(Table124161[[#This Row],[ACA Number]],Table127[NAT Number],Table127[TT race points])</f>
        <v>999.99</v>
      </c>
      <c r="AH8">
        <f>_xlfn.XLOOKUP(Table124161[[#This Row],[ACA Number]],Table12716[NAT Number],Table12716[TT race points])</f>
        <v>129.41999999999999</v>
      </c>
      <c r="AI8">
        <f>_xlfn.XLOOKUP(Table124161[[#This Row],[ACA Number]],Table12716313749617385[NAT Number],Table12716313749617385[TT race points])</f>
        <v>81.25</v>
      </c>
      <c r="AJ8" cm="1">
        <f t="array" ref="AJ8">_xlfn.LET(_xlpm.r,Table124161[[#This Row],[PM SL1]:[MF SL]],_xlpm.m,_xlfn.AGGREGATE(15,6,_xlpm.r/(_xlpm.r&lt;&gt;999.99),1),IFERROR(_xlpm.m,999.99))</f>
        <v>81.25</v>
      </c>
      <c r="AK8" cm="1">
        <f t="array" ref="AK8">_xlfn.LET(_xlpm.r,Table124161[[#This Row],[PM SL1]:[MF SL]],_xlpm.m,_xlfn.AGGREGATE(15,6,_xlpm.r/(_xlpm.r&lt;&gt;999.99),2),IFERROR(_xlpm.m,999.99))</f>
        <v>129.41999999999999</v>
      </c>
      <c r="AM8">
        <v>117686</v>
      </c>
      <c r="AN8" t="s">
        <v>653</v>
      </c>
      <c r="AO8" t="s">
        <v>648</v>
      </c>
      <c r="AP8">
        <f>_xlfn.XLOOKUP(Table125162[[#This Row],[ACA Number]],Table127163137496173[NAT Number],Table127163137496173[TT race points])</f>
        <v>116.63</v>
      </c>
      <c r="AQ8">
        <f>_xlfn.XLOOKUP(Table125162[[#This Row],[ACA Number]],Table127163137496173109[NAT Number],Table127163137496173109[TT race points])</f>
        <v>190.22</v>
      </c>
      <c r="AR8">
        <f>_xlfn.XLOOKUP(Table125162[[#This Row],[ACA Number]],Table127163137496173109115[NAT Number],Table127163137496173109115[TT race points])</f>
        <v>48.74</v>
      </c>
      <c r="AS8" cm="1">
        <f t="array" ref="AS8">_xlfn.LET(_xlpm.r,Table125162[[#This Row],[CM GS1]:[MF GS]],_xlpm.m,_xlfn.AGGREGATE(15,6,_xlpm.r/(_xlpm.r&lt;&gt;999.99),1),IFERROR(_xlpm.m,999.99))</f>
        <v>48.74</v>
      </c>
      <c r="AT8" cm="1">
        <f t="array" ref="AT8">_xlfn.LET(_xlpm.r,Table125162[[#This Row],[CM GS1]:[MF GS]],_xlpm.m,_xlfn.AGGREGATE(15,6,_xlpm.r/(_xlpm.r&lt;&gt;999.99),2),IFERROR(_xlpm.m,999.99))</f>
        <v>116.63</v>
      </c>
      <c r="AV8">
        <v>102726</v>
      </c>
      <c r="AW8" t="s">
        <v>651</v>
      </c>
      <c r="AX8" t="s">
        <v>648</v>
      </c>
      <c r="AY8">
        <f>_xlfn.XLOOKUP(Table126163[[#This Row],[ACA Number]],Table121158[ACA Number],Table121158[Best 1 run SL race])</f>
        <v>61.73</v>
      </c>
      <c r="AZ8">
        <f>_xlfn.XLOOKUP(Table126163[[#This Row],[ACA Number]],Table123160[ACA Number],Table123160[Best 1 Run])</f>
        <v>4.92</v>
      </c>
      <c r="BA8">
        <f>_xlfn.XLOOKUP(Table126163[[#This Row],[ACA Number]],Table122159[ACA Number],Table122159[Best 1 run GS Race])</f>
        <v>204.66</v>
      </c>
      <c r="BB8">
        <f>_xlfn.XLOOKUP(Table126163[[#This Row],[ACA Number]],Table124161[ACA Number],Table124161[Best result],)</f>
        <v>162.31</v>
      </c>
      <c r="BC8">
        <f>_xlfn.XLOOKUP(Table126163[[#This Row],[ACA Number]],Table124161[ACA Number],Table124161[2nd Best Result])</f>
        <v>999.99</v>
      </c>
      <c r="BD8">
        <f>_xlfn.XLOOKUP(Table126163[[#This Row],[ACA Number]],Table125162[ACA Number],Table125162[Best result])</f>
        <v>11.74</v>
      </c>
      <c r="BE8">
        <f>_xlfn.XLOOKUP(Table126163[[#This Row],[ACA Number]],Table125162[ACA Number],Table125162[2nd Best Result])</f>
        <v>81.83</v>
      </c>
      <c r="BF8">
        <f t="shared" si="0"/>
        <v>1527.18</v>
      </c>
      <c r="BG8">
        <f>_xlfn.RANK.EQ(Table126163[[#This Row],[Total Points]],Table126163[Total Points],1)</f>
        <v>6</v>
      </c>
    </row>
    <row r="9" spans="1:59" x14ac:dyDescent="0.3">
      <c r="A9">
        <v>102827</v>
      </c>
      <c r="B9" t="s">
        <v>654</v>
      </c>
      <c r="C9" t="s">
        <v>648</v>
      </c>
      <c r="D9">
        <f>_xlfn.XLOOKUP(Table121158[[#This Row],[ACA Number]],Table127[NAT Number],Table127[run 1 points])</f>
        <v>999.99</v>
      </c>
      <c r="E9">
        <f>_xlfn.XLOOKUP(Table121158[[#This Row],[ACA Number]],Table127[NAT Number],Table127[run 2 points])</f>
        <v>999.99</v>
      </c>
      <c r="F9">
        <f>_xlfn.XLOOKUP(Table121158[[#This Row],[ACA Number]],Table12716[NAT Number],Table12716[run 1 points])</f>
        <v>999.99</v>
      </c>
      <c r="G9">
        <f>_xlfn.XLOOKUP(Table121158[[#This Row],[ACA Number]],Table12716[NAT Number],Table12716[run 2 points])</f>
        <v>204.95</v>
      </c>
      <c r="H9">
        <f>_xlfn.XLOOKUP(Table121158[[#This Row],[ACA Number]],Table12716313749617385[NAT Number],Table12716313749617385[run 1 points])</f>
        <v>149.68</v>
      </c>
      <c r="I9">
        <f>_xlfn.XLOOKUP(Table121158[[#This Row],[ACA Number]],Table12716313749617385[NAT Number],Table12716313749617385[run 2 points])</f>
        <v>162.01</v>
      </c>
      <c r="J9" cm="1">
        <f t="array" ref="J9">_xlfn.LET(_xlpm.r,Table121158[[#This Row],[PM SL1 R1]:[MF SL1 R2]],_xlpm.m,_xlfn.AGGREGATE(15,6,_xlpm.r/(_xlpm.r&lt;&gt;999.99),1),IFERROR(_xlpm.m,999.99))</f>
        <v>149.68</v>
      </c>
      <c r="L9">
        <v>102827</v>
      </c>
      <c r="M9" t="s">
        <v>654</v>
      </c>
      <c r="N9" t="s">
        <v>648</v>
      </c>
      <c r="O9">
        <f>_xlfn.XLOOKUP(Table122159[[#This Row],[ACA Number]],Table127163191[NAT Number],Table127163191[run 1 points])</f>
        <v>391.98</v>
      </c>
      <c r="P9">
        <f>_xlfn.XLOOKUP(Table122159[[#This Row],[ACA Number]],Table122110193494[NAT Number],Table122110193494[run 1 points])</f>
        <v>999.99</v>
      </c>
      <c r="Q9" cm="1">
        <f t="array" ref="Q9">_xlfn.LET(_xlpm.r,Table122159[[#This Row],[CM SG R1]:[CM SG R2]],_xlpm.m,_xlfn.AGGREGATE(15,6,_xlpm.r/(_xlpm.r&lt;&gt;999.99),1),IFERROR(_xlpm.m,999.99))</f>
        <v>391.98</v>
      </c>
      <c r="S9">
        <v>102827</v>
      </c>
      <c r="T9" t="s">
        <v>654</v>
      </c>
      <c r="U9" t="s">
        <v>648</v>
      </c>
      <c r="V9">
        <f>_xlfn.XLOOKUP(Table123160[[#This Row],[ACA Number]],Table127163137496173[NAT Number],Table127163137496173[run 1 points])</f>
        <v>369</v>
      </c>
      <c r="W9">
        <f>_xlfn.XLOOKUP(Table123160[[#This Row],[ACA Number]],Table127163137496173[NAT Number],Table127163137496173[run 2 points])</f>
        <v>999.99</v>
      </c>
      <c r="X9">
        <f>_xlfn.XLOOKUP(Table123160[[#This Row],[ACA Number]],Table127163137496173109[NAT Number],Table127163137496173109[run 1 points])</f>
        <v>999.99</v>
      </c>
      <c r="Y9">
        <f>_xlfn.XLOOKUP(Table123160[[#This Row],[ACA Number]],Table127163137496173109[NAT Number],Table127163137496173109[run 2 points])</f>
        <v>999.99</v>
      </c>
      <c r="Z9">
        <f>_xlfn.XLOOKUP(Table123160[[#This Row],[ACA Number]],Table127163137496173109115[NAT Number],Table127163137496173109115[run 1 points])</f>
        <v>161.63</v>
      </c>
      <c r="AA9">
        <f>_xlfn.XLOOKUP(Table123160[[#This Row],[ACA Number]],Table127163137496173109115[NAT Number],Table127163137496173109115[run 2 points])</f>
        <v>132.59</v>
      </c>
      <c r="AB9" cm="1">
        <f t="array" ref="AB9">_xlfn.LET(_xlpm.r,Table123160[[#This Row],[CM GS1 R1]:[MF GS R2]],_xlpm.m,_xlfn.AGGREGATE(15,6,_xlpm.r/(_xlpm.r&lt;&gt;999.99),1),IFERROR(_xlpm.m,999.99))</f>
        <v>132.59</v>
      </c>
      <c r="AD9">
        <v>102827</v>
      </c>
      <c r="AE9" t="s">
        <v>654</v>
      </c>
      <c r="AF9" t="s">
        <v>648</v>
      </c>
      <c r="AG9">
        <f>_xlfn.XLOOKUP(Table124161[[#This Row],[ACA Number]],Table127[NAT Number],Table127[TT race points])</f>
        <v>999.99</v>
      </c>
      <c r="AH9">
        <f>_xlfn.XLOOKUP(Table124161[[#This Row],[ACA Number]],Table12716[NAT Number],Table12716[TT race points])</f>
        <v>999.99</v>
      </c>
      <c r="AI9">
        <f>_xlfn.XLOOKUP(Table124161[[#This Row],[ACA Number]],Table12716313749617385[NAT Number],Table12716313749617385[TT race points])</f>
        <v>156.19</v>
      </c>
      <c r="AJ9" cm="1">
        <f t="array" ref="AJ9">_xlfn.LET(_xlpm.r,Table124161[[#This Row],[PM SL1]:[MF SL]],_xlpm.m,_xlfn.AGGREGATE(15,6,_xlpm.r/(_xlpm.r&lt;&gt;999.99),1),IFERROR(_xlpm.m,999.99))</f>
        <v>156.19</v>
      </c>
      <c r="AK9" cm="1">
        <f t="array" ref="AK9">_xlfn.LET(_xlpm.r,Table124161[[#This Row],[PM SL1]:[MF SL]],_xlpm.m,_xlfn.AGGREGATE(15,6,_xlpm.r/(_xlpm.r&lt;&gt;999.99),2),IFERROR(_xlpm.m,999.99))</f>
        <v>999.99</v>
      </c>
      <c r="AM9">
        <v>102827</v>
      </c>
      <c r="AN9" t="s">
        <v>654</v>
      </c>
      <c r="AO9" t="s">
        <v>648</v>
      </c>
      <c r="AP9">
        <f>_xlfn.XLOOKUP(Table125162[[#This Row],[ACA Number]],Table127163137496173[NAT Number],Table127163137496173[TT race points])</f>
        <v>999.99</v>
      </c>
      <c r="AQ9">
        <f>_xlfn.XLOOKUP(Table125162[[#This Row],[ACA Number]],Table127163137496173109[NAT Number],Table127163137496173109[TT race points])</f>
        <v>999.99</v>
      </c>
      <c r="AR9">
        <f>_xlfn.XLOOKUP(Table125162[[#This Row],[ACA Number]],Table127163137496173109115[NAT Number],Table127163137496173109115[TT race points])</f>
        <v>144.63999999999999</v>
      </c>
      <c r="AS9" cm="1">
        <f t="array" ref="AS9">_xlfn.LET(_xlpm.r,Table125162[[#This Row],[CM GS1]:[MF GS]],_xlpm.m,_xlfn.AGGREGATE(15,6,_xlpm.r/(_xlpm.r&lt;&gt;999.99),1),IFERROR(_xlpm.m,999.99))</f>
        <v>144.63999999999999</v>
      </c>
      <c r="AT9" cm="1">
        <f t="array" ref="AT9">_xlfn.LET(_xlpm.r,Table125162[[#This Row],[CM GS1]:[MF GS]],_xlpm.m,_xlfn.AGGREGATE(15,6,_xlpm.r/(_xlpm.r&lt;&gt;999.99),2),IFERROR(_xlpm.m,999.99))</f>
        <v>999.99</v>
      </c>
      <c r="AV9">
        <v>108684</v>
      </c>
      <c r="AW9" t="s">
        <v>655</v>
      </c>
      <c r="AX9" t="s">
        <v>648</v>
      </c>
      <c r="AY9">
        <f>_xlfn.XLOOKUP(Table126163[[#This Row],[ACA Number]],Table121158[ACA Number],Table121158[Best 1 run SL race])</f>
        <v>204.97</v>
      </c>
      <c r="AZ9">
        <f>_xlfn.XLOOKUP(Table126163[[#This Row],[ACA Number]],Table123160[ACA Number],Table123160[Best 1 Run])</f>
        <v>121.69</v>
      </c>
      <c r="BA9">
        <f>_xlfn.XLOOKUP(Table126163[[#This Row],[ACA Number]],Table122159[ACA Number],Table122159[Best 1 run GS Race])</f>
        <v>999.99</v>
      </c>
      <c r="BB9">
        <f>_xlfn.XLOOKUP(Table126163[[#This Row],[ACA Number]],Table124161[ACA Number],Table124161[Best result],)</f>
        <v>204.11</v>
      </c>
      <c r="BC9">
        <f>_xlfn.XLOOKUP(Table126163[[#This Row],[ACA Number]],Table124161[ACA Number],Table124161[2nd Best Result])</f>
        <v>249.14</v>
      </c>
      <c r="BD9">
        <f>_xlfn.XLOOKUP(Table126163[[#This Row],[ACA Number]],Table125162[ACA Number],Table125162[Best result])</f>
        <v>163.88</v>
      </c>
      <c r="BE9">
        <f>_xlfn.XLOOKUP(Table126163[[#This Row],[ACA Number]],Table125162[ACA Number],Table125162[2nd Best Result])</f>
        <v>267.05</v>
      </c>
      <c r="BF9">
        <f t="shared" si="0"/>
        <v>2210.8300000000004</v>
      </c>
      <c r="BG9">
        <f>_xlfn.RANK.EQ(Table126163[[#This Row],[Total Points]],Table126163[Total Points],1)</f>
        <v>7</v>
      </c>
    </row>
    <row r="10" spans="1:59" x14ac:dyDescent="0.3">
      <c r="A10">
        <v>108684</v>
      </c>
      <c r="B10" t="s">
        <v>655</v>
      </c>
      <c r="C10" t="s">
        <v>648</v>
      </c>
      <c r="D10">
        <f>_xlfn.XLOOKUP(Table121158[[#This Row],[ACA Number]],Table127[NAT Number],Table127[run 1 points])</f>
        <v>262.7</v>
      </c>
      <c r="E10">
        <f>_xlfn.XLOOKUP(Table121158[[#This Row],[ACA Number]],Table127[NAT Number],Table127[run 2 points])</f>
        <v>237.24</v>
      </c>
      <c r="F10">
        <f>_xlfn.XLOOKUP(Table121158[[#This Row],[ACA Number]],Table12716[NAT Number],Table12716[run 1 points])</f>
        <v>204.97</v>
      </c>
      <c r="G10">
        <f>_xlfn.XLOOKUP(Table121158[[#This Row],[ACA Number]],Table12716[NAT Number],Table12716[run 2 points])</f>
        <v>219.88</v>
      </c>
      <c r="H10" t="e">
        <f>_xlfn.XLOOKUP(Table121158[[#This Row],[ACA Number]],Table12716313749617385[NAT Number],Table12716313749617385[run 1 points])</f>
        <v>#N/A</v>
      </c>
      <c r="I10" t="e">
        <f>_xlfn.XLOOKUP(Table121158[[#This Row],[ACA Number]],Table12716313749617385[NAT Number],Table12716313749617385[run 2 points])</f>
        <v>#N/A</v>
      </c>
      <c r="J10" cm="1">
        <f t="array" ref="J10">_xlfn.LET(_xlpm.r,Table121158[[#This Row],[PM SL1 R1]:[MF SL1 R2]],_xlpm.m,_xlfn.AGGREGATE(15,6,_xlpm.r/(_xlpm.r&lt;&gt;999.99),1),IFERROR(_xlpm.m,999.99))</f>
        <v>204.97</v>
      </c>
      <c r="L10">
        <v>108684</v>
      </c>
      <c r="M10" t="s">
        <v>655</v>
      </c>
      <c r="N10" t="s">
        <v>648</v>
      </c>
      <c r="O10" t="e">
        <f>_xlfn.XLOOKUP(Table122159[[#This Row],[ACA Number]],Table127163191[NAT Number],Table127163191[run 1 points])</f>
        <v>#N/A</v>
      </c>
      <c r="P10" t="e">
        <f>_xlfn.XLOOKUP(Table122159[[#This Row],[ACA Number]],Table122110193494[NAT Number],Table122110193494[run 1 points])</f>
        <v>#N/A</v>
      </c>
      <c r="Q10" cm="1">
        <f t="array" ref="Q10">_xlfn.LET(_xlpm.r,Table122159[[#This Row],[CM SG R1]:[CM SG R2]],_xlpm.m,_xlfn.AGGREGATE(15,6,_xlpm.r/(_xlpm.r&lt;&gt;999.99),1),IFERROR(_xlpm.m,999.99))</f>
        <v>999.99</v>
      </c>
      <c r="S10">
        <v>108684</v>
      </c>
      <c r="T10" t="s">
        <v>655</v>
      </c>
      <c r="U10" t="s">
        <v>648</v>
      </c>
      <c r="V10">
        <f>_xlfn.XLOOKUP(Table123160[[#This Row],[ACA Number]],Table127163137496173[NAT Number],Table127163137496173[run 1 points])</f>
        <v>212.64</v>
      </c>
      <c r="W10">
        <f>_xlfn.XLOOKUP(Table123160[[#This Row],[ACA Number]],Table127163137496173[NAT Number],Table127163137496173[run 2 points])</f>
        <v>121.69</v>
      </c>
      <c r="X10">
        <f>_xlfn.XLOOKUP(Table123160[[#This Row],[ACA Number]],Table127163137496173109[NAT Number],Table127163137496173109[run 1 points])</f>
        <v>286.45999999999998</v>
      </c>
      <c r="Y10">
        <f>_xlfn.XLOOKUP(Table123160[[#This Row],[ACA Number]],Table127163137496173109[NAT Number],Table127163137496173109[run 2 points])</f>
        <v>249.36</v>
      </c>
      <c r="Z10" t="e">
        <f>_xlfn.XLOOKUP(Table123160[[#This Row],[ACA Number]],Table127163137496173109115[NAT Number],Table127163137496173109115[run 1 points])</f>
        <v>#N/A</v>
      </c>
      <c r="AA10" t="e">
        <f>_xlfn.XLOOKUP(Table123160[[#This Row],[ACA Number]],Table127163137496173109115[NAT Number],Table127163137496173109115[run 2 points])</f>
        <v>#N/A</v>
      </c>
      <c r="AB10" cm="1">
        <f t="array" ref="AB10">_xlfn.LET(_xlpm.r,Table123160[[#This Row],[CM GS1 R1]:[MF GS R2]],_xlpm.m,_xlfn.AGGREGATE(15,6,_xlpm.r/(_xlpm.r&lt;&gt;999.99),1),IFERROR(_xlpm.m,999.99))</f>
        <v>121.69</v>
      </c>
      <c r="AD10">
        <v>108684</v>
      </c>
      <c r="AE10" t="s">
        <v>655</v>
      </c>
      <c r="AF10" t="s">
        <v>648</v>
      </c>
      <c r="AG10">
        <f>_xlfn.XLOOKUP(Table124161[[#This Row],[ACA Number]],Table127[NAT Number],Table127[TT race points])</f>
        <v>249.14</v>
      </c>
      <c r="AH10">
        <f>_xlfn.XLOOKUP(Table124161[[#This Row],[ACA Number]],Table12716[NAT Number],Table12716[TT race points])</f>
        <v>204.11</v>
      </c>
      <c r="AI10" t="e">
        <f>_xlfn.XLOOKUP(Table124161[[#This Row],[ACA Number]],Table12716313749617385[NAT Number],Table12716313749617385[TT race points])</f>
        <v>#N/A</v>
      </c>
      <c r="AJ10" cm="1">
        <f t="array" ref="AJ10">_xlfn.LET(_xlpm.r,Table124161[[#This Row],[PM SL1]:[MF SL]],_xlpm.m,_xlfn.AGGREGATE(15,6,_xlpm.r/(_xlpm.r&lt;&gt;999.99),1),IFERROR(_xlpm.m,999.99))</f>
        <v>204.11</v>
      </c>
      <c r="AK10" cm="1">
        <f t="array" ref="AK10">_xlfn.LET(_xlpm.r,Table124161[[#This Row],[PM SL1]:[MF SL]],_xlpm.m,_xlfn.AGGREGATE(15,6,_xlpm.r/(_xlpm.r&lt;&gt;999.99),2),IFERROR(_xlpm.m,999.99))</f>
        <v>249.14</v>
      </c>
      <c r="AM10">
        <v>108684</v>
      </c>
      <c r="AN10" t="s">
        <v>655</v>
      </c>
      <c r="AO10" t="s">
        <v>648</v>
      </c>
      <c r="AP10">
        <f>_xlfn.XLOOKUP(Table125162[[#This Row],[ACA Number]],Table127163137496173[NAT Number],Table127163137496173[TT race points])</f>
        <v>163.88</v>
      </c>
      <c r="AQ10">
        <f>_xlfn.XLOOKUP(Table125162[[#This Row],[ACA Number]],Table127163137496173109[NAT Number],Table127163137496173109[TT race points])</f>
        <v>267.05</v>
      </c>
      <c r="AR10" t="e">
        <f>_xlfn.XLOOKUP(Table125162[[#This Row],[ACA Number]],Table127163137496173109115[NAT Number],Table127163137496173109115[TT race points])</f>
        <v>#N/A</v>
      </c>
      <c r="AS10" cm="1">
        <f t="array" ref="AS10">_xlfn.LET(_xlpm.r,Table125162[[#This Row],[CM GS1]:[MF GS]],_xlpm.m,_xlfn.AGGREGATE(15,6,_xlpm.r/(_xlpm.r&lt;&gt;999.99),1),IFERROR(_xlpm.m,999.99))</f>
        <v>163.88</v>
      </c>
      <c r="AT10" cm="1">
        <f t="array" ref="AT10">_xlfn.LET(_xlpm.r,Table125162[[#This Row],[CM GS1]:[MF GS]],_xlpm.m,_xlfn.AGGREGATE(15,6,_xlpm.r/(_xlpm.r&lt;&gt;999.99),2),IFERROR(_xlpm.m,999.99))</f>
        <v>267.05</v>
      </c>
      <c r="AV10">
        <v>102827</v>
      </c>
      <c r="AW10" t="s">
        <v>654</v>
      </c>
      <c r="AX10" t="s">
        <v>648</v>
      </c>
      <c r="AY10">
        <f>_xlfn.XLOOKUP(Table126163[[#This Row],[ACA Number]],Table121158[ACA Number],Table121158[Best 1 run SL race])</f>
        <v>149.68</v>
      </c>
      <c r="AZ10">
        <f>_xlfn.XLOOKUP(Table126163[[#This Row],[ACA Number]],Table123160[ACA Number],Table123160[Best 1 Run])</f>
        <v>132.59</v>
      </c>
      <c r="BA10">
        <f>_xlfn.XLOOKUP(Table126163[[#This Row],[ACA Number]],Table122159[ACA Number],Table122159[Best 1 run GS Race])</f>
        <v>391.98</v>
      </c>
      <c r="BB10">
        <f>_xlfn.XLOOKUP(Table126163[[#This Row],[ACA Number]],Table124161[ACA Number],Table124161[Best result],)</f>
        <v>156.19</v>
      </c>
      <c r="BC10">
        <f>_xlfn.XLOOKUP(Table126163[[#This Row],[ACA Number]],Table124161[ACA Number],Table124161[2nd Best Result])</f>
        <v>999.99</v>
      </c>
      <c r="BD10">
        <f>_xlfn.XLOOKUP(Table126163[[#This Row],[ACA Number]],Table125162[ACA Number],Table125162[Best result])</f>
        <v>144.63999999999999</v>
      </c>
      <c r="BE10">
        <f>_xlfn.XLOOKUP(Table126163[[#This Row],[ACA Number]],Table125162[ACA Number],Table125162[2nd Best Result])</f>
        <v>999.99</v>
      </c>
      <c r="BF10">
        <f t="shared" si="0"/>
        <v>2975.0600000000004</v>
      </c>
      <c r="BG10">
        <f>_xlfn.RANK.EQ(Table126163[[#This Row],[Total Points]],Table126163[Total Points],1)</f>
        <v>8</v>
      </c>
    </row>
    <row r="11" spans="1:59" x14ac:dyDescent="0.3">
      <c r="A11">
        <v>109953</v>
      </c>
      <c r="B11" t="s">
        <v>656</v>
      </c>
      <c r="C11" t="s">
        <v>648</v>
      </c>
      <c r="D11" t="e">
        <f>_xlfn.XLOOKUP(Table121158[[#This Row],[ACA Number]],Table127[NAT Number],Table127[run 1 points])</f>
        <v>#N/A</v>
      </c>
      <c r="E11" t="e">
        <f>_xlfn.XLOOKUP(Table121158[[#This Row],[ACA Number]],Table127[NAT Number],Table127[run 2 points])</f>
        <v>#N/A</v>
      </c>
      <c r="F11" t="e">
        <f>_xlfn.XLOOKUP(Table121158[[#This Row],[ACA Number]],Table12716[NAT Number],Table12716[run 1 points])</f>
        <v>#N/A</v>
      </c>
      <c r="G11" t="e">
        <f>_xlfn.XLOOKUP(Table121158[[#This Row],[ACA Number]],Table12716[NAT Number],Table12716[run 2 points])</f>
        <v>#N/A</v>
      </c>
      <c r="H11" t="e">
        <f>_xlfn.XLOOKUP(Table121158[[#This Row],[ACA Number]],Table12716313749617385[NAT Number],Table12716313749617385[run 1 points])</f>
        <v>#N/A</v>
      </c>
      <c r="I11" t="e">
        <f>_xlfn.XLOOKUP(Table121158[[#This Row],[ACA Number]],Table12716313749617385[NAT Number],Table12716313749617385[run 2 points])</f>
        <v>#N/A</v>
      </c>
      <c r="J11" cm="1">
        <f t="array" ref="J11">_xlfn.LET(_xlpm.r,Table121158[[#This Row],[PM SL1 R1]:[MF SL1 R2]],_xlpm.m,_xlfn.AGGREGATE(15,6,_xlpm.r/(_xlpm.r&lt;&gt;999.99),1),IFERROR(_xlpm.m,999.99))</f>
        <v>999.99</v>
      </c>
      <c r="L11">
        <v>109953</v>
      </c>
      <c r="M11" t="s">
        <v>656</v>
      </c>
      <c r="N11" t="s">
        <v>648</v>
      </c>
      <c r="O11" t="e">
        <f>_xlfn.XLOOKUP(Table122159[[#This Row],[ACA Number]],Table127163191[NAT Number],Table127163191[run 1 points])</f>
        <v>#N/A</v>
      </c>
      <c r="P11" t="e">
        <f>_xlfn.XLOOKUP(Table122159[[#This Row],[ACA Number]],Table122110193494[NAT Number],Table122110193494[run 1 points])</f>
        <v>#N/A</v>
      </c>
      <c r="Q11" cm="1">
        <f t="array" ref="Q11">_xlfn.LET(_xlpm.r,Table122159[[#This Row],[CM SG R1]:[CM SG R2]],_xlpm.m,_xlfn.AGGREGATE(15,6,_xlpm.r/(_xlpm.r&lt;&gt;999.99),1),IFERROR(_xlpm.m,999.99))</f>
        <v>999.99</v>
      </c>
      <c r="S11">
        <v>109953</v>
      </c>
      <c r="T11" t="s">
        <v>656</v>
      </c>
      <c r="U11" t="s">
        <v>648</v>
      </c>
      <c r="V11" t="e">
        <f>_xlfn.XLOOKUP(Table123160[[#This Row],[ACA Number]],Table127163137496173[NAT Number],Table127163137496173[run 1 points])</f>
        <v>#N/A</v>
      </c>
      <c r="W11" t="e">
        <f>_xlfn.XLOOKUP(Table123160[[#This Row],[ACA Number]],Table127163137496173[NAT Number],Table127163137496173[run 2 points])</f>
        <v>#N/A</v>
      </c>
      <c r="X11" t="e">
        <f>_xlfn.XLOOKUP(Table123160[[#This Row],[ACA Number]],Table127163137496173109[NAT Number],Table127163137496173109[run 1 points])</f>
        <v>#N/A</v>
      </c>
      <c r="Y11" t="e">
        <f>_xlfn.XLOOKUP(Table123160[[#This Row],[ACA Number]],Table127163137496173109[NAT Number],Table127163137496173109[run 2 points])</f>
        <v>#N/A</v>
      </c>
      <c r="Z11" t="e">
        <f>_xlfn.XLOOKUP(Table123160[[#This Row],[ACA Number]],Table127163137496173109115[NAT Number],Table127163137496173109115[run 1 points])</f>
        <v>#N/A</v>
      </c>
      <c r="AA11" t="e">
        <f>_xlfn.XLOOKUP(Table123160[[#This Row],[ACA Number]],Table127163137496173109115[NAT Number],Table127163137496173109115[run 2 points])</f>
        <v>#N/A</v>
      </c>
      <c r="AB11" cm="1">
        <f t="array" ref="AB11">_xlfn.LET(_xlpm.r,Table123160[[#This Row],[CM GS1 R1]:[MF GS R2]],_xlpm.m,_xlfn.AGGREGATE(15,6,_xlpm.r/(_xlpm.r&lt;&gt;999.99),1),IFERROR(_xlpm.m,999.99))</f>
        <v>999.99</v>
      </c>
      <c r="AD11">
        <v>109953</v>
      </c>
      <c r="AE11" t="s">
        <v>656</v>
      </c>
      <c r="AF11" t="s">
        <v>648</v>
      </c>
      <c r="AG11" t="e">
        <f>_xlfn.XLOOKUP(Table124161[[#This Row],[ACA Number]],Table127[NAT Number],Table127[TT race points])</f>
        <v>#N/A</v>
      </c>
      <c r="AH11" t="e">
        <f>_xlfn.XLOOKUP(Table124161[[#This Row],[ACA Number]],Table12716[NAT Number],Table12716[TT race points])</f>
        <v>#N/A</v>
      </c>
      <c r="AI11" t="e">
        <f>_xlfn.XLOOKUP(Table124161[[#This Row],[ACA Number]],Table12716313749617385[NAT Number],Table12716313749617385[TT race points])</f>
        <v>#N/A</v>
      </c>
      <c r="AJ11" cm="1">
        <f t="array" ref="AJ11">_xlfn.LET(_xlpm.r,Table124161[[#This Row],[PM SL1]:[MF SL]],_xlpm.m,_xlfn.AGGREGATE(15,6,_xlpm.r/(_xlpm.r&lt;&gt;999.99),1),IFERROR(_xlpm.m,999.99))</f>
        <v>999.99</v>
      </c>
      <c r="AK11" cm="1">
        <f t="array" ref="AK11">_xlfn.LET(_xlpm.r,Table124161[[#This Row],[PM SL1]:[MF SL]],_xlpm.m,_xlfn.AGGREGATE(15,6,_xlpm.r/(_xlpm.r&lt;&gt;999.99),2),IFERROR(_xlpm.m,999.99))</f>
        <v>999.99</v>
      </c>
      <c r="AM11">
        <v>109953</v>
      </c>
      <c r="AN11" t="s">
        <v>656</v>
      </c>
      <c r="AO11" t="s">
        <v>648</v>
      </c>
      <c r="AP11" t="e">
        <f>_xlfn.XLOOKUP(Table125162[[#This Row],[ACA Number]],Table127163137496173[NAT Number],Table127163137496173[TT race points])</f>
        <v>#N/A</v>
      </c>
      <c r="AQ11" t="e">
        <f>_xlfn.XLOOKUP(Table125162[[#This Row],[ACA Number]],Table127163137496173109[NAT Number],Table127163137496173109[TT race points])</f>
        <v>#N/A</v>
      </c>
      <c r="AR11" t="e">
        <f>_xlfn.XLOOKUP(Table125162[[#This Row],[ACA Number]],Table127163137496173109115[NAT Number],Table127163137496173109115[TT race points])</f>
        <v>#N/A</v>
      </c>
      <c r="AS11" cm="1">
        <f t="array" ref="AS11">_xlfn.LET(_xlpm.r,Table125162[[#This Row],[CM GS1]:[MF GS]],_xlpm.m,_xlfn.AGGREGATE(15,6,_xlpm.r/(_xlpm.r&lt;&gt;999.99),1),IFERROR(_xlpm.m,999.99))</f>
        <v>999.99</v>
      </c>
      <c r="AT11" cm="1">
        <f t="array" ref="AT11">_xlfn.LET(_xlpm.r,Table125162[[#This Row],[CM GS1]:[MF GS]],_xlpm.m,_xlfn.AGGREGATE(15,6,_xlpm.r/(_xlpm.r&lt;&gt;999.99),2),IFERROR(_xlpm.m,999.99))</f>
        <v>999.99</v>
      </c>
      <c r="AV11">
        <v>107172</v>
      </c>
      <c r="AW11" t="s">
        <v>666</v>
      </c>
      <c r="AX11" t="s">
        <v>648</v>
      </c>
      <c r="AY11">
        <f>_xlfn.XLOOKUP(Table126163[[#This Row],[ACA Number]],Table121158[ACA Number],Table121158[Best 1 run SL race])</f>
        <v>383.13</v>
      </c>
      <c r="AZ11">
        <f>_xlfn.XLOOKUP(Table126163[[#This Row],[ACA Number]],Table123160[ACA Number],Table123160[Best 1 Run])</f>
        <v>240.66</v>
      </c>
      <c r="BA11">
        <f>_xlfn.XLOOKUP(Table126163[[#This Row],[ACA Number]],Table122159[ACA Number],Table122159[Best 1 run GS Race])</f>
        <v>438.58</v>
      </c>
      <c r="BB11">
        <f>_xlfn.XLOOKUP(Table126163[[#This Row],[ACA Number]],Table124161[ACA Number],Table124161[Best result],)</f>
        <v>434.25</v>
      </c>
      <c r="BC11">
        <f>_xlfn.XLOOKUP(Table126163[[#This Row],[ACA Number]],Table124161[ACA Number],Table124161[2nd Best Result])</f>
        <v>447.08</v>
      </c>
      <c r="BD11">
        <f>_xlfn.XLOOKUP(Table126163[[#This Row],[ACA Number]],Table125162[ACA Number],Table125162[Best result])</f>
        <v>289.83999999999997</v>
      </c>
      <c r="BE11">
        <f>_xlfn.XLOOKUP(Table126163[[#This Row],[ACA Number]],Table125162[ACA Number],Table125162[2nd Best Result])</f>
        <v>999.99</v>
      </c>
      <c r="BF11">
        <f t="shared" si="0"/>
        <v>3233.5299999999997</v>
      </c>
      <c r="BG11">
        <f>_xlfn.RANK.EQ(Table126163[[#This Row],[Total Points]],Table126163[Total Points],1)</f>
        <v>9</v>
      </c>
    </row>
    <row r="12" spans="1:59" x14ac:dyDescent="0.3">
      <c r="A12">
        <v>105181</v>
      </c>
      <c r="B12" t="s">
        <v>657</v>
      </c>
      <c r="C12" t="s">
        <v>648</v>
      </c>
      <c r="D12">
        <f>_xlfn.XLOOKUP(Table121158[[#This Row],[ACA Number]],Table127[NAT Number],Table127[run 1 points])</f>
        <v>103.55</v>
      </c>
      <c r="E12">
        <f>_xlfn.XLOOKUP(Table121158[[#This Row],[ACA Number]],Table127[NAT Number],Table127[run 2 points])</f>
        <v>60.66</v>
      </c>
      <c r="F12">
        <f>_xlfn.XLOOKUP(Table121158[[#This Row],[ACA Number]],Table12716[NAT Number],Table12716[run 1 points])</f>
        <v>86.87</v>
      </c>
      <c r="G12">
        <f>_xlfn.XLOOKUP(Table121158[[#This Row],[ACA Number]],Table12716[NAT Number],Table12716[run 2 points])</f>
        <v>999.99</v>
      </c>
      <c r="H12">
        <f>_xlfn.XLOOKUP(Table121158[[#This Row],[ACA Number]],Table12716313749617385[NAT Number],Table12716313749617385[run 1 points])</f>
        <v>87.14</v>
      </c>
      <c r="I12">
        <f>_xlfn.XLOOKUP(Table121158[[#This Row],[ACA Number]],Table12716313749617385[NAT Number],Table12716313749617385[run 2 points])</f>
        <v>45.56</v>
      </c>
      <c r="J12" cm="1">
        <f t="array" ref="J12">_xlfn.LET(_xlpm.r,Table121158[[#This Row],[PM SL1 R1]:[MF SL1 R2]],_xlpm.m,_xlfn.AGGREGATE(15,6,_xlpm.r/(_xlpm.r&lt;&gt;999.99),1),IFERROR(_xlpm.m,999.99))</f>
        <v>45.56</v>
      </c>
      <c r="L12">
        <v>105181</v>
      </c>
      <c r="M12" t="s">
        <v>657</v>
      </c>
      <c r="N12" t="s">
        <v>648</v>
      </c>
      <c r="O12">
        <f>_xlfn.XLOOKUP(Table122159[[#This Row],[ACA Number]],Table127163191[NAT Number],Table127163191[run 1 points])</f>
        <v>122.23</v>
      </c>
      <c r="P12">
        <f>_xlfn.XLOOKUP(Table122159[[#This Row],[ACA Number]],Table122110193494[NAT Number],Table122110193494[run 1 points])</f>
        <v>159.79</v>
      </c>
      <c r="Q12" cm="1">
        <f t="array" ref="Q12">_xlfn.LET(_xlpm.r,Table122159[[#This Row],[CM SG R1]:[CM SG R2]],_xlpm.m,_xlfn.AGGREGATE(15,6,_xlpm.r/(_xlpm.r&lt;&gt;999.99),1),IFERROR(_xlpm.m,999.99))</f>
        <v>122.23</v>
      </c>
      <c r="S12">
        <v>105181</v>
      </c>
      <c r="T12" t="s">
        <v>657</v>
      </c>
      <c r="U12" t="s">
        <v>648</v>
      </c>
      <c r="V12">
        <f>_xlfn.XLOOKUP(Table123160[[#This Row],[ACA Number]],Table127163137496173[NAT Number],Table127163137496173[run 1 points])</f>
        <v>48.42</v>
      </c>
      <c r="W12">
        <f>_xlfn.XLOOKUP(Table123160[[#This Row],[ACA Number]],Table127163137496173[NAT Number],Table127163137496173[run 2 points])</f>
        <v>13.92</v>
      </c>
      <c r="X12">
        <f>_xlfn.XLOOKUP(Table123160[[#This Row],[ACA Number]],Table127163137496173109[NAT Number],Table127163137496173109[run 1 points])</f>
        <v>138.47</v>
      </c>
      <c r="Y12">
        <f>_xlfn.XLOOKUP(Table123160[[#This Row],[ACA Number]],Table127163137496173109[NAT Number],Table127163137496173109[run 2 points])</f>
        <v>188.63</v>
      </c>
      <c r="Z12">
        <f>_xlfn.XLOOKUP(Table123160[[#This Row],[ACA Number]],Table127163137496173109115[NAT Number],Table127163137496173109115[run 1 points])</f>
        <v>0</v>
      </c>
      <c r="AA12">
        <f>_xlfn.XLOOKUP(Table123160[[#This Row],[ACA Number]],Table127163137496173109115[NAT Number],Table127163137496173109115[run 2 points])</f>
        <v>3.93</v>
      </c>
      <c r="AB12" cm="1">
        <f t="array" ref="AB12">_xlfn.LET(_xlpm.r,Table123160[[#This Row],[CM GS1 R1]:[MF GS R2]],_xlpm.m,_xlfn.AGGREGATE(15,6,_xlpm.r/(_xlpm.r&lt;&gt;999.99),1),IFERROR(_xlpm.m,999.99))</f>
        <v>0</v>
      </c>
      <c r="AD12">
        <v>105181</v>
      </c>
      <c r="AE12" t="s">
        <v>657</v>
      </c>
      <c r="AF12" t="s">
        <v>648</v>
      </c>
      <c r="AG12">
        <f>_xlfn.XLOOKUP(Table124161[[#This Row],[ACA Number]],Table127[NAT Number],Table127[TT race points])</f>
        <v>80.709999999999994</v>
      </c>
      <c r="AH12">
        <f>_xlfn.XLOOKUP(Table124161[[#This Row],[ACA Number]],Table12716[NAT Number],Table12716[TT race points])</f>
        <v>999.99</v>
      </c>
      <c r="AI12">
        <f>_xlfn.XLOOKUP(Table124161[[#This Row],[ACA Number]],Table12716313749617385[NAT Number],Table12716313749617385[TT race points])</f>
        <v>65.180000000000007</v>
      </c>
      <c r="AJ12" cm="1">
        <f t="array" ref="AJ12">_xlfn.LET(_xlpm.r,Table124161[[#This Row],[PM SL1]:[MF SL]],_xlpm.m,_xlfn.AGGREGATE(15,6,_xlpm.r/(_xlpm.r&lt;&gt;999.99),1),IFERROR(_xlpm.m,999.99))</f>
        <v>65.180000000000007</v>
      </c>
      <c r="AK12" cm="1">
        <f t="array" ref="AK12">_xlfn.LET(_xlpm.r,Table124161[[#This Row],[PM SL1]:[MF SL]],_xlpm.m,_xlfn.AGGREGATE(15,6,_xlpm.r/(_xlpm.r&lt;&gt;999.99),2),IFERROR(_xlpm.m,999.99))</f>
        <v>80.709999999999994</v>
      </c>
      <c r="AM12">
        <v>105181</v>
      </c>
      <c r="AN12" t="s">
        <v>657</v>
      </c>
      <c r="AO12" t="s">
        <v>648</v>
      </c>
      <c r="AP12">
        <f>_xlfn.XLOOKUP(Table125162[[#This Row],[ACA Number]],Table127163137496173[NAT Number],Table127163137496173[TT race points])</f>
        <v>28.01</v>
      </c>
      <c r="AQ12">
        <f>_xlfn.XLOOKUP(Table125162[[#This Row],[ACA Number]],Table127163137496173109[NAT Number],Table127163137496173109[TT race points])</f>
        <v>164.71</v>
      </c>
      <c r="AR12">
        <f>_xlfn.XLOOKUP(Table125162[[#This Row],[ACA Number]],Table127163137496173109115[NAT Number],Table127163137496173109115[TT race points])</f>
        <v>0</v>
      </c>
      <c r="AS12" cm="1">
        <f t="array" ref="AS12">_xlfn.LET(_xlpm.r,Table125162[[#This Row],[CM GS1]:[MF GS]],_xlpm.m,_xlfn.AGGREGATE(15,6,_xlpm.r/(_xlpm.r&lt;&gt;999.99),1),IFERROR(_xlpm.m,999.99))</f>
        <v>0</v>
      </c>
      <c r="AT12" cm="1">
        <f t="array" ref="AT12">_xlfn.LET(_xlpm.r,Table125162[[#This Row],[CM GS1]:[MF GS]],_xlpm.m,_xlfn.AGGREGATE(15,6,_xlpm.r/(_xlpm.r&lt;&gt;999.99),2),IFERROR(_xlpm.m,999.99))</f>
        <v>28.01</v>
      </c>
      <c r="AV12">
        <v>106162</v>
      </c>
      <c r="AW12" t="s">
        <v>665</v>
      </c>
      <c r="AX12" t="s">
        <v>648</v>
      </c>
      <c r="AY12">
        <f>_xlfn.XLOOKUP(Table126163[[#This Row],[ACA Number]],Table121158[ACA Number],Table121158[Best 1 run SL race])</f>
        <v>227.37</v>
      </c>
      <c r="AZ12">
        <f>_xlfn.XLOOKUP(Table126163[[#This Row],[ACA Number]],Table123160[ACA Number],Table123160[Best 1 Run])</f>
        <v>277.77999999999997</v>
      </c>
      <c r="BA12">
        <f>_xlfn.XLOOKUP(Table126163[[#This Row],[ACA Number]],Table122159[ACA Number],Table122159[Best 1 run GS Race])</f>
        <v>999.99</v>
      </c>
      <c r="BB12">
        <f>_xlfn.XLOOKUP(Table126163[[#This Row],[ACA Number]],Table124161[ACA Number],Table124161[Best result],)</f>
        <v>244.74</v>
      </c>
      <c r="BC12">
        <f>_xlfn.XLOOKUP(Table126163[[#This Row],[ACA Number]],Table124161[ACA Number],Table124161[2nd Best Result])</f>
        <v>434</v>
      </c>
      <c r="BD12">
        <f>_xlfn.XLOOKUP(Table126163[[#This Row],[ACA Number]],Table125162[ACA Number],Table125162[Best result])</f>
        <v>301.42</v>
      </c>
      <c r="BE12">
        <f>_xlfn.XLOOKUP(Table126163[[#This Row],[ACA Number]],Table125162[ACA Number],Table125162[2nd Best Result])</f>
        <v>999.99</v>
      </c>
      <c r="BF12">
        <f t="shared" si="0"/>
        <v>3485.29</v>
      </c>
      <c r="BG12">
        <f>_xlfn.RANK.EQ(Table126163[[#This Row],[Total Points]],Table126163[Total Points],1)</f>
        <v>10</v>
      </c>
    </row>
    <row r="13" spans="1:59" x14ac:dyDescent="0.3">
      <c r="A13">
        <v>127401</v>
      </c>
      <c r="B13" t="s">
        <v>658</v>
      </c>
      <c r="C13" t="s">
        <v>648</v>
      </c>
      <c r="D13" t="e">
        <f>_xlfn.XLOOKUP(Table121158[[#This Row],[ACA Number]],Table127[NAT Number],Table127[run 1 points])</f>
        <v>#N/A</v>
      </c>
      <c r="E13" t="e">
        <f>_xlfn.XLOOKUP(Table121158[[#This Row],[ACA Number]],Table127[NAT Number],Table127[run 2 points])</f>
        <v>#N/A</v>
      </c>
      <c r="F13" t="e">
        <f>_xlfn.XLOOKUP(Table121158[[#This Row],[ACA Number]],Table12716[NAT Number],Table12716[run 1 points])</f>
        <v>#N/A</v>
      </c>
      <c r="G13" t="e">
        <f>_xlfn.XLOOKUP(Table121158[[#This Row],[ACA Number]],Table12716[NAT Number],Table12716[run 2 points])</f>
        <v>#N/A</v>
      </c>
      <c r="H13" t="e">
        <f>_xlfn.XLOOKUP(Table121158[[#This Row],[ACA Number]],Table12716313749617385[NAT Number],Table12716313749617385[run 1 points])</f>
        <v>#N/A</v>
      </c>
      <c r="I13" t="e">
        <f>_xlfn.XLOOKUP(Table121158[[#This Row],[ACA Number]],Table12716313749617385[NAT Number],Table12716313749617385[run 2 points])</f>
        <v>#N/A</v>
      </c>
      <c r="J13" cm="1">
        <f t="array" ref="J13">_xlfn.LET(_xlpm.r,Table121158[[#This Row],[PM SL1 R1]:[MF SL1 R2]],_xlpm.m,_xlfn.AGGREGATE(15,6,_xlpm.r/(_xlpm.r&lt;&gt;999.99),1),IFERROR(_xlpm.m,999.99))</f>
        <v>999.99</v>
      </c>
      <c r="L13">
        <v>127401</v>
      </c>
      <c r="M13" t="s">
        <v>658</v>
      </c>
      <c r="N13" t="s">
        <v>648</v>
      </c>
      <c r="O13" t="e">
        <f>_xlfn.XLOOKUP(Table122159[[#This Row],[ACA Number]],Table127163191[NAT Number],Table127163191[run 1 points])</f>
        <v>#N/A</v>
      </c>
      <c r="P13" t="e">
        <f>_xlfn.XLOOKUP(Table122159[[#This Row],[ACA Number]],Table122110193494[NAT Number],Table122110193494[run 1 points])</f>
        <v>#N/A</v>
      </c>
      <c r="Q13" cm="1">
        <f t="array" ref="Q13">_xlfn.LET(_xlpm.r,Table122159[[#This Row],[CM SG R1]:[CM SG R2]],_xlpm.m,_xlfn.AGGREGATE(15,6,_xlpm.r/(_xlpm.r&lt;&gt;999.99),1),IFERROR(_xlpm.m,999.99))</f>
        <v>999.99</v>
      </c>
      <c r="S13">
        <v>127401</v>
      </c>
      <c r="T13" t="s">
        <v>658</v>
      </c>
      <c r="U13" t="s">
        <v>648</v>
      </c>
      <c r="V13" t="e">
        <f>_xlfn.XLOOKUP(Table123160[[#This Row],[ACA Number]],Table127163137496173[NAT Number],Table127163137496173[run 1 points])</f>
        <v>#N/A</v>
      </c>
      <c r="W13" t="e">
        <f>_xlfn.XLOOKUP(Table123160[[#This Row],[ACA Number]],Table127163137496173[NAT Number],Table127163137496173[run 2 points])</f>
        <v>#N/A</v>
      </c>
      <c r="X13" t="e">
        <f>_xlfn.XLOOKUP(Table123160[[#This Row],[ACA Number]],Table127163137496173109[NAT Number],Table127163137496173109[run 1 points])</f>
        <v>#N/A</v>
      </c>
      <c r="Y13" t="e">
        <f>_xlfn.XLOOKUP(Table123160[[#This Row],[ACA Number]],Table127163137496173109[NAT Number],Table127163137496173109[run 2 points])</f>
        <v>#N/A</v>
      </c>
      <c r="Z13" t="e">
        <f>_xlfn.XLOOKUP(Table123160[[#This Row],[ACA Number]],Table127163137496173109115[NAT Number],Table127163137496173109115[run 1 points])</f>
        <v>#N/A</v>
      </c>
      <c r="AA13" t="e">
        <f>_xlfn.XLOOKUP(Table123160[[#This Row],[ACA Number]],Table127163137496173109115[NAT Number],Table127163137496173109115[run 2 points])</f>
        <v>#N/A</v>
      </c>
      <c r="AB13" cm="1">
        <f t="array" ref="AB13">_xlfn.LET(_xlpm.r,Table123160[[#This Row],[CM GS1 R1]:[MF GS R2]],_xlpm.m,_xlfn.AGGREGATE(15,6,_xlpm.r/(_xlpm.r&lt;&gt;999.99),1),IFERROR(_xlpm.m,999.99))</f>
        <v>999.99</v>
      </c>
      <c r="AD13">
        <v>127401</v>
      </c>
      <c r="AE13" t="s">
        <v>658</v>
      </c>
      <c r="AF13" t="s">
        <v>648</v>
      </c>
      <c r="AG13" t="e">
        <f>_xlfn.XLOOKUP(Table124161[[#This Row],[ACA Number]],Table127[NAT Number],Table127[TT race points])</f>
        <v>#N/A</v>
      </c>
      <c r="AH13" t="e">
        <f>_xlfn.XLOOKUP(Table124161[[#This Row],[ACA Number]],Table12716[NAT Number],Table12716[TT race points])</f>
        <v>#N/A</v>
      </c>
      <c r="AI13" t="e">
        <f>_xlfn.XLOOKUP(Table124161[[#This Row],[ACA Number]],Table12716313749617385[NAT Number],Table12716313749617385[TT race points])</f>
        <v>#N/A</v>
      </c>
      <c r="AJ13" cm="1">
        <f t="array" ref="AJ13">_xlfn.LET(_xlpm.r,Table124161[[#This Row],[PM SL1]:[MF SL]],_xlpm.m,_xlfn.AGGREGATE(15,6,_xlpm.r/(_xlpm.r&lt;&gt;999.99),1),IFERROR(_xlpm.m,999.99))</f>
        <v>999.99</v>
      </c>
      <c r="AK13" cm="1">
        <f t="array" ref="AK13">_xlfn.LET(_xlpm.r,Table124161[[#This Row],[PM SL1]:[MF SL]],_xlpm.m,_xlfn.AGGREGATE(15,6,_xlpm.r/(_xlpm.r&lt;&gt;999.99),2),IFERROR(_xlpm.m,999.99))</f>
        <v>999.99</v>
      </c>
      <c r="AM13">
        <v>127401</v>
      </c>
      <c r="AN13" t="s">
        <v>658</v>
      </c>
      <c r="AO13" t="s">
        <v>648</v>
      </c>
      <c r="AP13" t="e">
        <f>_xlfn.XLOOKUP(Table125162[[#This Row],[ACA Number]],Table127163137496173[NAT Number],Table127163137496173[TT race points])</f>
        <v>#N/A</v>
      </c>
      <c r="AQ13" t="e">
        <f>_xlfn.XLOOKUP(Table125162[[#This Row],[ACA Number]],Table127163137496173109[NAT Number],Table127163137496173109[TT race points])</f>
        <v>#N/A</v>
      </c>
      <c r="AR13" t="e">
        <f>_xlfn.XLOOKUP(Table125162[[#This Row],[ACA Number]],Table127163137496173109115[NAT Number],Table127163137496173109115[TT race points])</f>
        <v>#N/A</v>
      </c>
      <c r="AS13" cm="1">
        <f t="array" ref="AS13">_xlfn.LET(_xlpm.r,Table125162[[#This Row],[CM GS1]:[MF GS]],_xlpm.m,_xlfn.AGGREGATE(15,6,_xlpm.r/(_xlpm.r&lt;&gt;999.99),1),IFERROR(_xlpm.m,999.99))</f>
        <v>999.99</v>
      </c>
      <c r="AT13" cm="1">
        <f t="array" ref="AT13">_xlfn.LET(_xlpm.r,Table125162[[#This Row],[CM GS1]:[MF GS]],_xlpm.m,_xlfn.AGGREGATE(15,6,_xlpm.r/(_xlpm.r&lt;&gt;999.99),2),IFERROR(_xlpm.m,999.99))</f>
        <v>999.99</v>
      </c>
      <c r="AV13">
        <v>120663</v>
      </c>
      <c r="AW13" t="s">
        <v>661</v>
      </c>
      <c r="AX13" t="s">
        <v>648</v>
      </c>
      <c r="AY13">
        <f>_xlfn.XLOOKUP(Table126163[[#This Row],[ACA Number]],Table121158[ACA Number],Table121158[Best 1 run SL race])</f>
        <v>333.12</v>
      </c>
      <c r="AZ13">
        <f>_xlfn.XLOOKUP(Table126163[[#This Row],[ACA Number]],Table123160[ACA Number],Table123160[Best 1 Run])</f>
        <v>213.39</v>
      </c>
      <c r="BA13">
        <f>_xlfn.XLOOKUP(Table126163[[#This Row],[ACA Number]],Table122159[ACA Number],Table122159[Best 1 run GS Race])</f>
        <v>386.59</v>
      </c>
      <c r="BB13">
        <f>_xlfn.XLOOKUP(Table126163[[#This Row],[ACA Number]],Table124161[ACA Number],Table124161[Best result],)</f>
        <v>999.99</v>
      </c>
      <c r="BC13">
        <f>_xlfn.XLOOKUP(Table126163[[#This Row],[ACA Number]],Table124161[ACA Number],Table124161[2nd Best Result])</f>
        <v>999.99</v>
      </c>
      <c r="BD13">
        <f>_xlfn.XLOOKUP(Table126163[[#This Row],[ACA Number]],Table125162[ACA Number],Table125162[Best result])</f>
        <v>253.42</v>
      </c>
      <c r="BE13">
        <f>_xlfn.XLOOKUP(Table126163[[#This Row],[ACA Number]],Table125162[ACA Number],Table125162[2nd Best Result])</f>
        <v>348.43</v>
      </c>
      <c r="BF13">
        <f t="shared" si="0"/>
        <v>3534.93</v>
      </c>
      <c r="BG13">
        <f>_xlfn.RANK.EQ(Table126163[[#This Row],[Total Points]],Table126163[Total Points],1)</f>
        <v>11</v>
      </c>
    </row>
    <row r="14" spans="1:59" x14ac:dyDescent="0.3">
      <c r="A14">
        <v>117684</v>
      </c>
      <c r="B14" t="s">
        <v>659</v>
      </c>
      <c r="C14" t="s">
        <v>648</v>
      </c>
      <c r="D14">
        <f>_xlfn.XLOOKUP(Table121158[[#This Row],[ACA Number]],Table127[NAT Number],Table127[run 1 points])</f>
        <v>203.43</v>
      </c>
      <c r="E14">
        <f>_xlfn.XLOOKUP(Table121158[[#This Row],[ACA Number]],Table127[NAT Number],Table127[run 2 points])</f>
        <v>109.92</v>
      </c>
      <c r="F14">
        <f>_xlfn.XLOOKUP(Table121158[[#This Row],[ACA Number]],Table12716[NAT Number],Table12716[run 1 points])</f>
        <v>98.54</v>
      </c>
      <c r="G14">
        <f>_xlfn.XLOOKUP(Table121158[[#This Row],[ACA Number]],Table12716[NAT Number],Table12716[run 2 points])</f>
        <v>163.66999999999999</v>
      </c>
      <c r="H14">
        <f>_xlfn.XLOOKUP(Table121158[[#This Row],[ACA Number]],Table12716313749617385[NAT Number],Table12716313749617385[run 1 points])</f>
        <v>999.99</v>
      </c>
      <c r="I14">
        <f>_xlfn.XLOOKUP(Table121158[[#This Row],[ACA Number]],Table12716313749617385[NAT Number],Table12716313749617385[run 2 points])</f>
        <v>68.849999999999994</v>
      </c>
      <c r="J14" cm="1">
        <f t="array" ref="J14">_xlfn.LET(_xlpm.r,Table121158[[#This Row],[PM SL1 R1]:[MF SL1 R2]],_xlpm.m,_xlfn.AGGREGATE(15,6,_xlpm.r/(_xlpm.r&lt;&gt;999.99),1),IFERROR(_xlpm.m,999.99))</f>
        <v>68.849999999999994</v>
      </c>
      <c r="L14">
        <v>117684</v>
      </c>
      <c r="M14" t="s">
        <v>659</v>
      </c>
      <c r="N14" t="s">
        <v>648</v>
      </c>
      <c r="O14">
        <f>_xlfn.XLOOKUP(Table122159[[#This Row],[ACA Number]],Table127163191[NAT Number],Table127163191[run 1 points])</f>
        <v>196.69</v>
      </c>
      <c r="P14">
        <f>_xlfn.XLOOKUP(Table122159[[#This Row],[ACA Number]],Table122110193494[NAT Number],Table122110193494[run 1 points])</f>
        <v>221.41</v>
      </c>
      <c r="Q14" cm="1">
        <f t="array" ref="Q14">_xlfn.LET(_xlpm.r,Table122159[[#This Row],[CM SG R1]:[CM SG R2]],_xlpm.m,_xlfn.AGGREGATE(15,6,_xlpm.r/(_xlpm.r&lt;&gt;999.99),1),IFERROR(_xlpm.m,999.99))</f>
        <v>196.69</v>
      </c>
      <c r="S14">
        <v>117684</v>
      </c>
      <c r="T14" t="s">
        <v>659</v>
      </c>
      <c r="U14" t="s">
        <v>648</v>
      </c>
      <c r="V14">
        <f>_xlfn.XLOOKUP(Table123160[[#This Row],[ACA Number]],Table127163137496173[NAT Number],Table127163137496173[run 1 points])</f>
        <v>178.53</v>
      </c>
      <c r="W14">
        <f>_xlfn.XLOOKUP(Table123160[[#This Row],[ACA Number]],Table127163137496173[NAT Number],Table127163137496173[run 2 points])</f>
        <v>140.21</v>
      </c>
      <c r="X14">
        <f>_xlfn.XLOOKUP(Table123160[[#This Row],[ACA Number]],Table127163137496173109[NAT Number],Table127163137496173109[run 1 points])</f>
        <v>276.45</v>
      </c>
      <c r="Y14">
        <f>_xlfn.XLOOKUP(Table123160[[#This Row],[ACA Number]],Table127163137496173109[NAT Number],Table127163137496173109[run 2 points])</f>
        <v>234.85</v>
      </c>
      <c r="Z14">
        <f>_xlfn.XLOOKUP(Table123160[[#This Row],[ACA Number]],Table127163137496173109115[NAT Number],Table127163137496173109115[run 1 points])</f>
        <v>130.52000000000001</v>
      </c>
      <c r="AA14">
        <f>_xlfn.XLOOKUP(Table123160[[#This Row],[ACA Number]],Table127163137496173109115[NAT Number],Table127163137496173109115[run 2 points])</f>
        <v>60</v>
      </c>
      <c r="AB14" cm="1">
        <f t="array" ref="AB14">_xlfn.LET(_xlpm.r,Table123160[[#This Row],[CM GS1 R1]:[MF GS R2]],_xlpm.m,_xlfn.AGGREGATE(15,6,_xlpm.r/(_xlpm.r&lt;&gt;999.99),1),IFERROR(_xlpm.m,999.99))</f>
        <v>60</v>
      </c>
      <c r="AD14">
        <v>117684</v>
      </c>
      <c r="AE14" t="s">
        <v>659</v>
      </c>
      <c r="AF14" t="s">
        <v>648</v>
      </c>
      <c r="AG14">
        <f>_xlfn.XLOOKUP(Table124161[[#This Row],[ACA Number]],Table127[NAT Number],Table127[TT race points])</f>
        <v>153.63999999999999</v>
      </c>
      <c r="AH14">
        <f>_xlfn.XLOOKUP(Table124161[[#This Row],[ACA Number]],Table12716[NAT Number],Table12716[TT race points])</f>
        <v>123.27</v>
      </c>
      <c r="AI14">
        <f>_xlfn.XLOOKUP(Table124161[[#This Row],[ACA Number]],Table12716313749617385[NAT Number],Table12716313749617385[TT race points])</f>
        <v>999.99</v>
      </c>
      <c r="AJ14" cm="1">
        <f t="array" ref="AJ14">_xlfn.LET(_xlpm.r,Table124161[[#This Row],[PM SL1]:[MF SL]],_xlpm.m,_xlfn.AGGREGATE(15,6,_xlpm.r/(_xlpm.r&lt;&gt;999.99),1),IFERROR(_xlpm.m,999.99))</f>
        <v>123.27</v>
      </c>
      <c r="AK14" cm="1">
        <f t="array" ref="AK14">_xlfn.LET(_xlpm.r,Table124161[[#This Row],[PM SL1]:[MF SL]],_xlpm.m,_xlfn.AGGREGATE(15,6,_xlpm.r/(_xlpm.r&lt;&gt;999.99),2),IFERROR(_xlpm.m,999.99))</f>
        <v>153.63999999999999</v>
      </c>
      <c r="AM14">
        <v>117684</v>
      </c>
      <c r="AN14" t="s">
        <v>659</v>
      </c>
      <c r="AO14" t="s">
        <v>648</v>
      </c>
      <c r="AP14">
        <f>_xlfn.XLOOKUP(Table125162[[#This Row],[ACA Number]],Table127163137496173[NAT Number],Table127163137496173[TT race points])</f>
        <v>155.81</v>
      </c>
      <c r="AQ14">
        <f>_xlfn.XLOOKUP(Table125162[[#This Row],[ACA Number]],Table127163137496173109[NAT Number],Table127163137496173109[TT race points])</f>
        <v>254.69</v>
      </c>
      <c r="AR14">
        <f>_xlfn.XLOOKUP(Table125162[[#This Row],[ACA Number]],Table127163137496173109115[NAT Number],Table127163137496173109115[TT race points])</f>
        <v>92.61</v>
      </c>
      <c r="AS14" cm="1">
        <f t="array" ref="AS14">_xlfn.LET(_xlpm.r,Table125162[[#This Row],[CM GS1]:[MF GS]],_xlpm.m,_xlfn.AGGREGATE(15,6,_xlpm.r/(_xlpm.r&lt;&gt;999.99),1),IFERROR(_xlpm.m,999.99))</f>
        <v>92.61</v>
      </c>
      <c r="AT14" cm="1">
        <f t="array" ref="AT14">_xlfn.LET(_xlpm.r,Table125162[[#This Row],[CM GS1]:[MF GS]],_xlpm.m,_xlfn.AGGREGATE(15,6,_xlpm.r/(_xlpm.r&lt;&gt;999.99),2),IFERROR(_xlpm.m,999.99))</f>
        <v>155.81</v>
      </c>
      <c r="AV14">
        <v>108668</v>
      </c>
      <c r="AW14" t="s">
        <v>647</v>
      </c>
      <c r="AX14" t="s">
        <v>648</v>
      </c>
      <c r="AY14">
        <f>_xlfn.XLOOKUP(Table126163[[#This Row],[ACA Number]],Table121158[ACA Number],Table121158[Best 1 run SL race])</f>
        <v>422.15</v>
      </c>
      <c r="AZ14">
        <f>_xlfn.XLOOKUP(Table126163[[#This Row],[ACA Number]],Table123160[ACA Number],Table123160[Best 1 Run])</f>
        <v>999.99</v>
      </c>
      <c r="BA14">
        <f>_xlfn.XLOOKUP(Table126163[[#This Row],[ACA Number]],Table122159[ACA Number],Table122159[Best 1 run GS Race])</f>
        <v>999.99</v>
      </c>
      <c r="BB14">
        <f>_xlfn.XLOOKUP(Table126163[[#This Row],[ACA Number]],Table124161[ACA Number],Table124161[Best result],)</f>
        <v>999.99</v>
      </c>
      <c r="BC14">
        <f>_xlfn.XLOOKUP(Table126163[[#This Row],[ACA Number]],Table124161[ACA Number],Table124161[2nd Best Result])</f>
        <v>999.99</v>
      </c>
      <c r="BD14">
        <f>_xlfn.XLOOKUP(Table126163[[#This Row],[ACA Number]],Table125162[ACA Number],Table125162[Best result])</f>
        <v>999.99</v>
      </c>
      <c r="BE14">
        <f>_xlfn.XLOOKUP(Table126163[[#This Row],[ACA Number]],Table125162[ACA Number],Table125162[2nd Best Result])</f>
        <v>999.99</v>
      </c>
      <c r="BF14">
        <f t="shared" si="0"/>
        <v>6422.0899999999992</v>
      </c>
      <c r="BG14">
        <f>_xlfn.RANK.EQ(Table126163[[#This Row],[Total Points]],Table126163[Total Points],1)</f>
        <v>12</v>
      </c>
    </row>
    <row r="15" spans="1:59" x14ac:dyDescent="0.3">
      <c r="A15">
        <v>127404</v>
      </c>
      <c r="B15" t="s">
        <v>660</v>
      </c>
      <c r="C15" t="s">
        <v>648</v>
      </c>
      <c r="D15" t="e">
        <f>_xlfn.XLOOKUP(Table121158[[#This Row],[ACA Number]],Table127[NAT Number],Table127[run 1 points])</f>
        <v>#N/A</v>
      </c>
      <c r="E15" t="e">
        <f>_xlfn.XLOOKUP(Table121158[[#This Row],[ACA Number]],Table127[NAT Number],Table127[run 2 points])</f>
        <v>#N/A</v>
      </c>
      <c r="F15" t="e">
        <f>_xlfn.XLOOKUP(Table121158[[#This Row],[ACA Number]],Table12716[NAT Number],Table12716[run 1 points])</f>
        <v>#N/A</v>
      </c>
      <c r="G15" t="e">
        <f>_xlfn.XLOOKUP(Table121158[[#This Row],[ACA Number]],Table12716[NAT Number],Table12716[run 2 points])</f>
        <v>#N/A</v>
      </c>
      <c r="H15" t="e">
        <f>_xlfn.XLOOKUP(Table121158[[#This Row],[ACA Number]],Table12716313749617385[NAT Number],Table12716313749617385[run 1 points])</f>
        <v>#N/A</v>
      </c>
      <c r="I15" t="e">
        <f>_xlfn.XLOOKUP(Table121158[[#This Row],[ACA Number]],Table12716313749617385[NAT Number],Table12716313749617385[run 2 points])</f>
        <v>#N/A</v>
      </c>
      <c r="J15" cm="1">
        <f t="array" ref="J15">_xlfn.LET(_xlpm.r,Table121158[[#This Row],[PM SL1 R1]:[MF SL1 R2]],_xlpm.m,_xlfn.AGGREGATE(15,6,_xlpm.r/(_xlpm.r&lt;&gt;999.99),1),IFERROR(_xlpm.m,999.99))</f>
        <v>999.99</v>
      </c>
      <c r="L15">
        <v>127404</v>
      </c>
      <c r="M15" t="s">
        <v>660</v>
      </c>
      <c r="N15" t="s">
        <v>648</v>
      </c>
      <c r="O15" t="e">
        <f>_xlfn.XLOOKUP(Table122159[[#This Row],[ACA Number]],Table127163191[NAT Number],Table127163191[run 1 points])</f>
        <v>#N/A</v>
      </c>
      <c r="P15" t="e">
        <f>_xlfn.XLOOKUP(Table122159[[#This Row],[ACA Number]],Table122110193494[NAT Number],Table122110193494[run 1 points])</f>
        <v>#N/A</v>
      </c>
      <c r="Q15" cm="1">
        <f t="array" ref="Q15">_xlfn.LET(_xlpm.r,Table122159[[#This Row],[CM SG R1]:[CM SG R2]],_xlpm.m,_xlfn.AGGREGATE(15,6,_xlpm.r/(_xlpm.r&lt;&gt;999.99),1),IFERROR(_xlpm.m,999.99))</f>
        <v>999.99</v>
      </c>
      <c r="S15">
        <v>127404</v>
      </c>
      <c r="T15" t="s">
        <v>660</v>
      </c>
      <c r="U15" t="s">
        <v>648</v>
      </c>
      <c r="V15" t="e">
        <f>_xlfn.XLOOKUP(Table123160[[#This Row],[ACA Number]],Table127163137496173[NAT Number],Table127163137496173[run 1 points])</f>
        <v>#N/A</v>
      </c>
      <c r="W15" t="e">
        <f>_xlfn.XLOOKUP(Table123160[[#This Row],[ACA Number]],Table127163137496173[NAT Number],Table127163137496173[run 2 points])</f>
        <v>#N/A</v>
      </c>
      <c r="X15" t="e">
        <f>_xlfn.XLOOKUP(Table123160[[#This Row],[ACA Number]],Table127163137496173109[NAT Number],Table127163137496173109[run 1 points])</f>
        <v>#N/A</v>
      </c>
      <c r="Y15" t="e">
        <f>_xlfn.XLOOKUP(Table123160[[#This Row],[ACA Number]],Table127163137496173109[NAT Number],Table127163137496173109[run 2 points])</f>
        <v>#N/A</v>
      </c>
      <c r="Z15" t="e">
        <f>_xlfn.XLOOKUP(Table123160[[#This Row],[ACA Number]],Table127163137496173109115[NAT Number],Table127163137496173109115[run 1 points])</f>
        <v>#N/A</v>
      </c>
      <c r="AA15" t="e">
        <f>_xlfn.XLOOKUP(Table123160[[#This Row],[ACA Number]],Table127163137496173109115[NAT Number],Table127163137496173109115[run 2 points])</f>
        <v>#N/A</v>
      </c>
      <c r="AB15" cm="1">
        <f t="array" ref="AB15">_xlfn.LET(_xlpm.r,Table123160[[#This Row],[CM GS1 R1]:[MF GS R2]],_xlpm.m,_xlfn.AGGREGATE(15,6,_xlpm.r/(_xlpm.r&lt;&gt;999.99),1),IFERROR(_xlpm.m,999.99))</f>
        <v>999.99</v>
      </c>
      <c r="AD15">
        <v>127404</v>
      </c>
      <c r="AE15" t="s">
        <v>660</v>
      </c>
      <c r="AF15" t="s">
        <v>648</v>
      </c>
      <c r="AG15" t="e">
        <f>_xlfn.XLOOKUP(Table124161[[#This Row],[ACA Number]],Table127[NAT Number],Table127[TT race points])</f>
        <v>#N/A</v>
      </c>
      <c r="AH15" t="e">
        <f>_xlfn.XLOOKUP(Table124161[[#This Row],[ACA Number]],Table12716[NAT Number],Table12716[TT race points])</f>
        <v>#N/A</v>
      </c>
      <c r="AI15" t="e">
        <f>_xlfn.XLOOKUP(Table124161[[#This Row],[ACA Number]],Table12716313749617385[NAT Number],Table12716313749617385[TT race points])</f>
        <v>#N/A</v>
      </c>
      <c r="AJ15" cm="1">
        <f t="array" ref="AJ15">_xlfn.LET(_xlpm.r,Table124161[[#This Row],[PM SL1]:[MF SL]],_xlpm.m,_xlfn.AGGREGATE(15,6,_xlpm.r/(_xlpm.r&lt;&gt;999.99),1),IFERROR(_xlpm.m,999.99))</f>
        <v>999.99</v>
      </c>
      <c r="AK15" cm="1">
        <f t="array" ref="AK15">_xlfn.LET(_xlpm.r,Table124161[[#This Row],[PM SL1]:[MF SL]],_xlpm.m,_xlfn.AGGREGATE(15,6,_xlpm.r/(_xlpm.r&lt;&gt;999.99),2),IFERROR(_xlpm.m,999.99))</f>
        <v>999.99</v>
      </c>
      <c r="AM15">
        <v>127404</v>
      </c>
      <c r="AN15" t="s">
        <v>660</v>
      </c>
      <c r="AO15" t="s">
        <v>648</v>
      </c>
      <c r="AP15" t="e">
        <f>_xlfn.XLOOKUP(Table125162[[#This Row],[ACA Number]],Table127163137496173[NAT Number],Table127163137496173[TT race points])</f>
        <v>#N/A</v>
      </c>
      <c r="AQ15" t="e">
        <f>_xlfn.XLOOKUP(Table125162[[#This Row],[ACA Number]],Table127163137496173109[NAT Number],Table127163137496173109[TT race points])</f>
        <v>#N/A</v>
      </c>
      <c r="AR15" t="e">
        <f>_xlfn.XLOOKUP(Table125162[[#This Row],[ACA Number]],Table127163137496173109115[NAT Number],Table127163137496173109115[TT race points])</f>
        <v>#N/A</v>
      </c>
      <c r="AS15" cm="1">
        <f t="array" ref="AS15">_xlfn.LET(_xlpm.r,Table125162[[#This Row],[CM GS1]:[MF GS]],_xlpm.m,_xlfn.AGGREGATE(15,6,_xlpm.r/(_xlpm.r&lt;&gt;999.99),1),IFERROR(_xlpm.m,999.99))</f>
        <v>999.99</v>
      </c>
      <c r="AT15" cm="1">
        <f t="array" ref="AT15">_xlfn.LET(_xlpm.r,Table125162[[#This Row],[CM GS1]:[MF GS]],_xlpm.m,_xlfn.AGGREGATE(15,6,_xlpm.r/(_xlpm.r&lt;&gt;999.99),2),IFERROR(_xlpm.m,999.99))</f>
        <v>999.99</v>
      </c>
      <c r="AV15">
        <v>127391</v>
      </c>
      <c r="AW15" t="s">
        <v>650</v>
      </c>
      <c r="AX15" t="s">
        <v>648</v>
      </c>
      <c r="AY15">
        <f>_xlfn.XLOOKUP(Table126163[[#This Row],[ACA Number]],Table121158[ACA Number],Table121158[Best 1 run SL race])</f>
        <v>999.99</v>
      </c>
      <c r="AZ15">
        <f>_xlfn.XLOOKUP(Table126163[[#This Row],[ACA Number]],Table123160[ACA Number],Table123160[Best 1 Run])</f>
        <v>999.99</v>
      </c>
      <c r="BA15">
        <f>_xlfn.XLOOKUP(Table126163[[#This Row],[ACA Number]],Table122159[ACA Number],Table122159[Best 1 run GS Race])</f>
        <v>999.99</v>
      </c>
      <c r="BB15">
        <f>_xlfn.XLOOKUP(Table126163[[#This Row],[ACA Number]],Table124161[ACA Number],Table124161[Best result],)</f>
        <v>999.99</v>
      </c>
      <c r="BC15">
        <f>_xlfn.XLOOKUP(Table126163[[#This Row],[ACA Number]],Table124161[ACA Number],Table124161[2nd Best Result])</f>
        <v>999.99</v>
      </c>
      <c r="BD15">
        <f>_xlfn.XLOOKUP(Table126163[[#This Row],[ACA Number]],Table125162[ACA Number],Table125162[Best result])</f>
        <v>999.99</v>
      </c>
      <c r="BE15">
        <f>_xlfn.XLOOKUP(Table126163[[#This Row],[ACA Number]],Table125162[ACA Number],Table125162[2nd Best Result])</f>
        <v>999.99</v>
      </c>
      <c r="BF15">
        <f t="shared" si="0"/>
        <v>6999.9299999999994</v>
      </c>
      <c r="BG15">
        <f>_xlfn.RANK.EQ(Table126163[[#This Row],[Total Points]],Table126163[Total Points],1)</f>
        <v>13</v>
      </c>
    </row>
    <row r="16" spans="1:59" x14ac:dyDescent="0.3">
      <c r="A16">
        <v>120663</v>
      </c>
      <c r="B16" t="s">
        <v>661</v>
      </c>
      <c r="C16" t="s">
        <v>648</v>
      </c>
      <c r="D16">
        <f>_xlfn.XLOOKUP(Table121158[[#This Row],[ACA Number]],Table127[NAT Number],Table127[run 1 points])</f>
        <v>344.61</v>
      </c>
      <c r="E16">
        <f>_xlfn.XLOOKUP(Table121158[[#This Row],[ACA Number]],Table127[NAT Number],Table127[run 2 points])</f>
        <v>999.99</v>
      </c>
      <c r="F16">
        <f>_xlfn.XLOOKUP(Table121158[[#This Row],[ACA Number]],Table12716[NAT Number],Table12716[run 1 points])</f>
        <v>999.99</v>
      </c>
      <c r="G16">
        <f>_xlfn.XLOOKUP(Table121158[[#This Row],[ACA Number]],Table12716[NAT Number],Table12716[run 2 points])</f>
        <v>333.12</v>
      </c>
      <c r="H16" t="e">
        <f>_xlfn.XLOOKUP(Table121158[[#This Row],[ACA Number]],Table12716313749617385[NAT Number],Table12716313749617385[run 1 points])</f>
        <v>#N/A</v>
      </c>
      <c r="I16" t="e">
        <f>_xlfn.XLOOKUP(Table121158[[#This Row],[ACA Number]],Table12716313749617385[NAT Number],Table12716313749617385[run 2 points])</f>
        <v>#N/A</v>
      </c>
      <c r="J16" cm="1">
        <f t="array" ref="J16">_xlfn.LET(_xlpm.r,Table121158[[#This Row],[PM SL1 R1]:[MF SL1 R2]],_xlpm.m,_xlfn.AGGREGATE(15,6,_xlpm.r/(_xlpm.r&lt;&gt;999.99),1),IFERROR(_xlpm.m,999.99))</f>
        <v>333.12</v>
      </c>
      <c r="L16">
        <v>120663</v>
      </c>
      <c r="M16" t="s">
        <v>661</v>
      </c>
      <c r="N16" t="s">
        <v>648</v>
      </c>
      <c r="O16">
        <f>_xlfn.XLOOKUP(Table122159[[#This Row],[ACA Number]],Table127163191[NAT Number],Table127163191[run 1 points])</f>
        <v>410.01</v>
      </c>
      <c r="P16">
        <f>_xlfn.XLOOKUP(Table122159[[#This Row],[ACA Number]],Table122110193494[NAT Number],Table122110193494[run 1 points])</f>
        <v>386.59</v>
      </c>
      <c r="Q16" cm="1">
        <f t="array" ref="Q16">_xlfn.LET(_xlpm.r,Table122159[[#This Row],[CM SG R1]:[CM SG R2]],_xlpm.m,_xlfn.AGGREGATE(15,6,_xlpm.r/(_xlpm.r&lt;&gt;999.99),1),IFERROR(_xlpm.m,999.99))</f>
        <v>386.59</v>
      </c>
      <c r="S16">
        <v>120663</v>
      </c>
      <c r="T16" t="s">
        <v>661</v>
      </c>
      <c r="U16" t="s">
        <v>648</v>
      </c>
      <c r="V16">
        <f>_xlfn.XLOOKUP(Table123160[[#This Row],[ACA Number]],Table127163137496173[NAT Number],Table127163137496173[run 1 points])</f>
        <v>300.64</v>
      </c>
      <c r="W16">
        <f>_xlfn.XLOOKUP(Table123160[[#This Row],[ACA Number]],Table127163137496173[NAT Number],Table127163137496173[run 2 points])</f>
        <v>213.39</v>
      </c>
      <c r="X16">
        <f>_xlfn.XLOOKUP(Table123160[[#This Row],[ACA Number]],Table127163137496173109[NAT Number],Table127163137496173109[run 1 points])</f>
        <v>349.79</v>
      </c>
      <c r="Y16">
        <f>_xlfn.XLOOKUP(Table123160[[#This Row],[ACA Number]],Table127163137496173109[NAT Number],Table127163137496173109[run 2 points])</f>
        <v>347.19</v>
      </c>
      <c r="Z16" t="e">
        <f>_xlfn.XLOOKUP(Table123160[[#This Row],[ACA Number]],Table127163137496173109115[NAT Number],Table127163137496173109115[run 1 points])</f>
        <v>#N/A</v>
      </c>
      <c r="AA16" t="e">
        <f>_xlfn.XLOOKUP(Table123160[[#This Row],[ACA Number]],Table127163137496173109115[NAT Number],Table127163137496173109115[run 2 points])</f>
        <v>#N/A</v>
      </c>
      <c r="AB16" cm="1">
        <f t="array" ref="AB16">_xlfn.LET(_xlpm.r,Table123160[[#This Row],[CM GS1 R1]:[MF GS R2]],_xlpm.m,_xlfn.AGGREGATE(15,6,_xlpm.r/(_xlpm.r&lt;&gt;999.99),1),IFERROR(_xlpm.m,999.99))</f>
        <v>213.39</v>
      </c>
      <c r="AD16">
        <v>120663</v>
      </c>
      <c r="AE16" t="s">
        <v>661</v>
      </c>
      <c r="AF16" t="s">
        <v>648</v>
      </c>
      <c r="AG16">
        <f>_xlfn.XLOOKUP(Table124161[[#This Row],[ACA Number]],Table127[NAT Number],Table127[TT race points])</f>
        <v>999.99</v>
      </c>
      <c r="AH16">
        <f>_xlfn.XLOOKUP(Table124161[[#This Row],[ACA Number]],Table12716[NAT Number],Table12716[TT race points])</f>
        <v>999.99</v>
      </c>
      <c r="AI16" t="e">
        <f>_xlfn.XLOOKUP(Table124161[[#This Row],[ACA Number]],Table12716313749617385[NAT Number],Table12716313749617385[TT race points])</f>
        <v>#N/A</v>
      </c>
      <c r="AJ16" cm="1">
        <f t="array" ref="AJ16">_xlfn.LET(_xlpm.r,Table124161[[#This Row],[PM SL1]:[MF SL]],_xlpm.m,_xlfn.AGGREGATE(15,6,_xlpm.r/(_xlpm.r&lt;&gt;999.99),1),IFERROR(_xlpm.m,999.99))</f>
        <v>999.99</v>
      </c>
      <c r="AK16" cm="1">
        <f t="array" ref="AK16">_xlfn.LET(_xlpm.r,Table124161[[#This Row],[PM SL1]:[MF SL]],_xlpm.m,_xlfn.AGGREGATE(15,6,_xlpm.r/(_xlpm.r&lt;&gt;999.99),2),IFERROR(_xlpm.m,999.99))</f>
        <v>999.99</v>
      </c>
      <c r="AM16">
        <v>120663</v>
      </c>
      <c r="AN16" t="s">
        <v>661</v>
      </c>
      <c r="AO16" t="s">
        <v>648</v>
      </c>
      <c r="AP16">
        <f>_xlfn.XLOOKUP(Table125162[[#This Row],[ACA Number]],Table127163137496173[NAT Number],Table127163137496173[TT race points])</f>
        <v>253.42</v>
      </c>
      <c r="AQ16">
        <f>_xlfn.XLOOKUP(Table125162[[#This Row],[ACA Number]],Table127163137496173109[NAT Number],Table127163137496173109[TT race points])</f>
        <v>348.43</v>
      </c>
      <c r="AR16" t="e">
        <f>_xlfn.XLOOKUP(Table125162[[#This Row],[ACA Number]],Table127163137496173109115[NAT Number],Table127163137496173109115[TT race points])</f>
        <v>#N/A</v>
      </c>
      <c r="AS16" cm="1">
        <f t="array" ref="AS16">_xlfn.LET(_xlpm.r,Table125162[[#This Row],[CM GS1]:[MF GS]],_xlpm.m,_xlfn.AGGREGATE(15,6,_xlpm.r/(_xlpm.r&lt;&gt;999.99),1),IFERROR(_xlpm.m,999.99))</f>
        <v>253.42</v>
      </c>
      <c r="AT16" cm="1">
        <f t="array" ref="AT16">_xlfn.LET(_xlpm.r,Table125162[[#This Row],[CM GS1]:[MF GS]],_xlpm.m,_xlfn.AGGREGATE(15,6,_xlpm.r/(_xlpm.r&lt;&gt;999.99),2),IFERROR(_xlpm.m,999.99))</f>
        <v>348.43</v>
      </c>
      <c r="AV16">
        <v>127410</v>
      </c>
      <c r="AW16" t="s">
        <v>652</v>
      </c>
      <c r="AX16" t="s">
        <v>648</v>
      </c>
      <c r="AY16">
        <f>_xlfn.XLOOKUP(Table126163[[#This Row],[ACA Number]],Table121158[ACA Number],Table121158[Best 1 run SL race])</f>
        <v>999.99</v>
      </c>
      <c r="AZ16">
        <f>_xlfn.XLOOKUP(Table126163[[#This Row],[ACA Number]],Table123160[ACA Number],Table123160[Best 1 Run])</f>
        <v>999.99</v>
      </c>
      <c r="BA16">
        <f>_xlfn.XLOOKUP(Table126163[[#This Row],[ACA Number]],Table122159[ACA Number],Table122159[Best 1 run GS Race])</f>
        <v>999.99</v>
      </c>
      <c r="BB16">
        <f>_xlfn.XLOOKUP(Table126163[[#This Row],[ACA Number]],Table124161[ACA Number],Table124161[Best result],)</f>
        <v>999.99</v>
      </c>
      <c r="BC16">
        <f>_xlfn.XLOOKUP(Table126163[[#This Row],[ACA Number]],Table124161[ACA Number],Table124161[2nd Best Result])</f>
        <v>999.99</v>
      </c>
      <c r="BD16">
        <f>_xlfn.XLOOKUP(Table126163[[#This Row],[ACA Number]],Table125162[ACA Number],Table125162[Best result])</f>
        <v>999.99</v>
      </c>
      <c r="BE16">
        <f>_xlfn.XLOOKUP(Table126163[[#This Row],[ACA Number]],Table125162[ACA Number],Table125162[2nd Best Result])</f>
        <v>999.99</v>
      </c>
      <c r="BF16">
        <f t="shared" si="0"/>
        <v>6999.9299999999994</v>
      </c>
      <c r="BG16">
        <f>_xlfn.RANK.EQ(Table126163[[#This Row],[Total Points]],Table126163[Total Points],1)</f>
        <v>13</v>
      </c>
    </row>
    <row r="17" spans="1:59" x14ac:dyDescent="0.3">
      <c r="A17">
        <v>125595</v>
      </c>
      <c r="B17" t="s">
        <v>662</v>
      </c>
      <c r="C17" t="s">
        <v>648</v>
      </c>
      <c r="D17" t="e">
        <f>_xlfn.XLOOKUP(Table121158[[#This Row],[ACA Number]],Table127[NAT Number],Table127[run 1 points])</f>
        <v>#N/A</v>
      </c>
      <c r="E17" t="e">
        <f>_xlfn.XLOOKUP(Table121158[[#This Row],[ACA Number]],Table127[NAT Number],Table127[run 2 points])</f>
        <v>#N/A</v>
      </c>
      <c r="F17" t="e">
        <f>_xlfn.XLOOKUP(Table121158[[#This Row],[ACA Number]],Table12716[NAT Number],Table12716[run 1 points])</f>
        <v>#N/A</v>
      </c>
      <c r="G17" t="e">
        <f>_xlfn.XLOOKUP(Table121158[[#This Row],[ACA Number]],Table12716[NAT Number],Table12716[run 2 points])</f>
        <v>#N/A</v>
      </c>
      <c r="H17" t="e">
        <f>_xlfn.XLOOKUP(Table121158[[#This Row],[ACA Number]],Table12716313749617385[NAT Number],Table12716313749617385[run 1 points])</f>
        <v>#N/A</v>
      </c>
      <c r="I17" t="e">
        <f>_xlfn.XLOOKUP(Table121158[[#This Row],[ACA Number]],Table12716313749617385[NAT Number],Table12716313749617385[run 2 points])</f>
        <v>#N/A</v>
      </c>
      <c r="J17" cm="1">
        <f t="array" ref="J17">_xlfn.LET(_xlpm.r,Table121158[[#This Row],[PM SL1 R1]:[MF SL1 R2]],_xlpm.m,_xlfn.AGGREGATE(15,6,_xlpm.r/(_xlpm.r&lt;&gt;999.99),1),IFERROR(_xlpm.m,999.99))</f>
        <v>999.99</v>
      </c>
      <c r="L17">
        <v>125595</v>
      </c>
      <c r="M17" t="s">
        <v>662</v>
      </c>
      <c r="N17" t="s">
        <v>648</v>
      </c>
      <c r="O17" t="e">
        <f>_xlfn.XLOOKUP(Table122159[[#This Row],[ACA Number]],Table127163191[NAT Number],Table127163191[run 1 points])</f>
        <v>#N/A</v>
      </c>
      <c r="P17" t="e">
        <f>_xlfn.XLOOKUP(Table122159[[#This Row],[ACA Number]],Table122110193494[NAT Number],Table122110193494[run 1 points])</f>
        <v>#N/A</v>
      </c>
      <c r="Q17" cm="1">
        <f t="array" ref="Q17">_xlfn.LET(_xlpm.r,Table122159[[#This Row],[CM SG R1]:[CM SG R2]],_xlpm.m,_xlfn.AGGREGATE(15,6,_xlpm.r/(_xlpm.r&lt;&gt;999.99),1),IFERROR(_xlpm.m,999.99))</f>
        <v>999.99</v>
      </c>
      <c r="S17">
        <v>125595</v>
      </c>
      <c r="T17" t="s">
        <v>662</v>
      </c>
      <c r="U17" t="s">
        <v>648</v>
      </c>
      <c r="V17" t="e">
        <f>_xlfn.XLOOKUP(Table123160[[#This Row],[ACA Number]],Table127163137496173[NAT Number],Table127163137496173[run 1 points])</f>
        <v>#N/A</v>
      </c>
      <c r="W17" t="e">
        <f>_xlfn.XLOOKUP(Table123160[[#This Row],[ACA Number]],Table127163137496173[NAT Number],Table127163137496173[run 2 points])</f>
        <v>#N/A</v>
      </c>
      <c r="X17" t="e">
        <f>_xlfn.XLOOKUP(Table123160[[#This Row],[ACA Number]],Table127163137496173109[NAT Number],Table127163137496173109[run 1 points])</f>
        <v>#N/A</v>
      </c>
      <c r="Y17" t="e">
        <f>_xlfn.XLOOKUP(Table123160[[#This Row],[ACA Number]],Table127163137496173109[NAT Number],Table127163137496173109[run 2 points])</f>
        <v>#N/A</v>
      </c>
      <c r="Z17" t="e">
        <f>_xlfn.XLOOKUP(Table123160[[#This Row],[ACA Number]],Table127163137496173109115[NAT Number],Table127163137496173109115[run 1 points])</f>
        <v>#N/A</v>
      </c>
      <c r="AA17" t="e">
        <f>_xlfn.XLOOKUP(Table123160[[#This Row],[ACA Number]],Table127163137496173109115[NAT Number],Table127163137496173109115[run 2 points])</f>
        <v>#N/A</v>
      </c>
      <c r="AB17" cm="1">
        <f t="array" ref="AB17">_xlfn.LET(_xlpm.r,Table123160[[#This Row],[CM GS1 R1]:[MF GS R2]],_xlpm.m,_xlfn.AGGREGATE(15,6,_xlpm.r/(_xlpm.r&lt;&gt;999.99),1),IFERROR(_xlpm.m,999.99))</f>
        <v>999.99</v>
      </c>
      <c r="AD17">
        <v>125595</v>
      </c>
      <c r="AE17" t="s">
        <v>662</v>
      </c>
      <c r="AF17" t="s">
        <v>648</v>
      </c>
      <c r="AG17" t="e">
        <f>_xlfn.XLOOKUP(Table124161[[#This Row],[ACA Number]],Table127[NAT Number],Table127[TT race points])</f>
        <v>#N/A</v>
      </c>
      <c r="AH17" t="e">
        <f>_xlfn.XLOOKUP(Table124161[[#This Row],[ACA Number]],Table12716[NAT Number],Table12716[TT race points])</f>
        <v>#N/A</v>
      </c>
      <c r="AI17" t="e">
        <f>_xlfn.XLOOKUP(Table124161[[#This Row],[ACA Number]],Table12716313749617385[NAT Number],Table12716313749617385[TT race points])</f>
        <v>#N/A</v>
      </c>
      <c r="AJ17" cm="1">
        <f t="array" ref="AJ17">_xlfn.LET(_xlpm.r,Table124161[[#This Row],[PM SL1]:[MF SL]],_xlpm.m,_xlfn.AGGREGATE(15,6,_xlpm.r/(_xlpm.r&lt;&gt;999.99),1),IFERROR(_xlpm.m,999.99))</f>
        <v>999.99</v>
      </c>
      <c r="AK17" cm="1">
        <f t="array" ref="AK17">_xlfn.LET(_xlpm.r,Table124161[[#This Row],[PM SL1]:[MF SL]],_xlpm.m,_xlfn.AGGREGATE(15,6,_xlpm.r/(_xlpm.r&lt;&gt;999.99),2),IFERROR(_xlpm.m,999.99))</f>
        <v>999.99</v>
      </c>
      <c r="AM17">
        <v>125595</v>
      </c>
      <c r="AN17" t="s">
        <v>662</v>
      </c>
      <c r="AO17" t="s">
        <v>648</v>
      </c>
      <c r="AP17" t="e">
        <f>_xlfn.XLOOKUP(Table125162[[#This Row],[ACA Number]],Table127163137496173[NAT Number],Table127163137496173[TT race points])</f>
        <v>#N/A</v>
      </c>
      <c r="AQ17" t="e">
        <f>_xlfn.XLOOKUP(Table125162[[#This Row],[ACA Number]],Table127163137496173109[NAT Number],Table127163137496173109[TT race points])</f>
        <v>#N/A</v>
      </c>
      <c r="AR17" t="e">
        <f>_xlfn.XLOOKUP(Table125162[[#This Row],[ACA Number]],Table127163137496173109115[NAT Number],Table127163137496173109115[TT race points])</f>
        <v>#N/A</v>
      </c>
      <c r="AS17" cm="1">
        <f t="array" ref="AS17">_xlfn.LET(_xlpm.r,Table125162[[#This Row],[CM GS1]:[MF GS]],_xlpm.m,_xlfn.AGGREGATE(15,6,_xlpm.r/(_xlpm.r&lt;&gt;999.99),1),IFERROR(_xlpm.m,999.99))</f>
        <v>999.99</v>
      </c>
      <c r="AT17" cm="1">
        <f t="array" ref="AT17">_xlfn.LET(_xlpm.r,Table125162[[#This Row],[CM GS1]:[MF GS]],_xlpm.m,_xlfn.AGGREGATE(15,6,_xlpm.r/(_xlpm.r&lt;&gt;999.99),2),IFERROR(_xlpm.m,999.99))</f>
        <v>999.99</v>
      </c>
      <c r="AV17">
        <v>109953</v>
      </c>
      <c r="AW17" t="s">
        <v>656</v>
      </c>
      <c r="AX17" t="s">
        <v>648</v>
      </c>
      <c r="AY17">
        <f>_xlfn.XLOOKUP(Table126163[[#This Row],[ACA Number]],Table121158[ACA Number],Table121158[Best 1 run SL race])</f>
        <v>999.99</v>
      </c>
      <c r="AZ17">
        <f>_xlfn.XLOOKUP(Table126163[[#This Row],[ACA Number]],Table123160[ACA Number],Table123160[Best 1 Run])</f>
        <v>999.99</v>
      </c>
      <c r="BA17">
        <f>_xlfn.XLOOKUP(Table126163[[#This Row],[ACA Number]],Table122159[ACA Number],Table122159[Best 1 run GS Race])</f>
        <v>999.99</v>
      </c>
      <c r="BB17">
        <f>_xlfn.XLOOKUP(Table126163[[#This Row],[ACA Number]],Table124161[ACA Number],Table124161[Best result],)</f>
        <v>999.99</v>
      </c>
      <c r="BC17">
        <f>_xlfn.XLOOKUP(Table126163[[#This Row],[ACA Number]],Table124161[ACA Number],Table124161[2nd Best Result])</f>
        <v>999.99</v>
      </c>
      <c r="BD17">
        <f>_xlfn.XLOOKUP(Table126163[[#This Row],[ACA Number]],Table125162[ACA Number],Table125162[Best result])</f>
        <v>999.99</v>
      </c>
      <c r="BE17">
        <f>_xlfn.XLOOKUP(Table126163[[#This Row],[ACA Number]],Table125162[ACA Number],Table125162[2nd Best Result])</f>
        <v>999.99</v>
      </c>
      <c r="BF17">
        <f t="shared" si="0"/>
        <v>6999.9299999999994</v>
      </c>
      <c r="BG17">
        <f>_xlfn.RANK.EQ(Table126163[[#This Row],[Total Points]],Table126163[Total Points],1)</f>
        <v>13</v>
      </c>
    </row>
    <row r="18" spans="1:59" x14ac:dyDescent="0.3">
      <c r="A18">
        <v>122060</v>
      </c>
      <c r="B18" t="s">
        <v>664</v>
      </c>
      <c r="C18" t="s">
        <v>648</v>
      </c>
      <c r="D18">
        <f>_xlfn.XLOOKUP(Table121158[[#This Row],[ACA Number]],Table127[NAT Number],Table127[run 1 points])</f>
        <v>182.13</v>
      </c>
      <c r="E18">
        <f>_xlfn.XLOOKUP(Table121158[[#This Row],[ACA Number]],Table127[NAT Number],Table127[run 2 points])</f>
        <v>87.85</v>
      </c>
      <c r="F18">
        <f>_xlfn.XLOOKUP(Table121158[[#This Row],[ACA Number]],Table12716[NAT Number],Table12716[run 1 points])</f>
        <v>114.62</v>
      </c>
      <c r="G18">
        <f>_xlfn.XLOOKUP(Table121158[[#This Row],[ACA Number]],Table12716[NAT Number],Table12716[run 2 points])</f>
        <v>121.91</v>
      </c>
      <c r="H18">
        <f>_xlfn.XLOOKUP(Table121158[[#This Row],[ACA Number]],Table12716313749617385[NAT Number],Table12716313749617385[run 1 points])</f>
        <v>56.35</v>
      </c>
      <c r="I18">
        <f>_xlfn.XLOOKUP(Table121158[[#This Row],[ACA Number]],Table12716313749617385[NAT Number],Table12716313749617385[run 2 points])</f>
        <v>42.65</v>
      </c>
      <c r="J18" cm="1">
        <f t="array" ref="J18">_xlfn.LET(_xlpm.r,Table121158[[#This Row],[PM SL1 R1]:[MF SL1 R2]],_xlpm.m,_xlfn.AGGREGATE(15,6,_xlpm.r/(_xlpm.r&lt;&gt;999.99),1),IFERROR(_xlpm.m,999.99))</f>
        <v>42.65</v>
      </c>
      <c r="L18">
        <v>122060</v>
      </c>
      <c r="M18" t="s">
        <v>664</v>
      </c>
      <c r="N18" t="s">
        <v>648</v>
      </c>
      <c r="O18">
        <f>_xlfn.XLOOKUP(Table122159[[#This Row],[ACA Number]],Table127163191[NAT Number],Table127163191[run 1 points])</f>
        <v>142.6</v>
      </c>
      <c r="P18">
        <f>_xlfn.XLOOKUP(Table122159[[#This Row],[ACA Number]],Table122110193494[NAT Number],Table122110193494[run 1 points])</f>
        <v>152.29</v>
      </c>
      <c r="Q18" cm="1">
        <f t="array" ref="Q18">_xlfn.LET(_xlpm.r,Table122159[[#This Row],[CM SG R1]:[CM SG R2]],_xlpm.m,_xlfn.AGGREGATE(15,6,_xlpm.r/(_xlpm.r&lt;&gt;999.99),1),IFERROR(_xlpm.m,999.99))</f>
        <v>142.6</v>
      </c>
      <c r="S18">
        <v>122060</v>
      </c>
      <c r="T18" t="s">
        <v>664</v>
      </c>
      <c r="U18" t="s">
        <v>648</v>
      </c>
      <c r="V18">
        <f>_xlfn.XLOOKUP(Table123160[[#This Row],[ACA Number]],Table127163137496173[NAT Number],Table127163137496173[run 1 points])</f>
        <v>999.99</v>
      </c>
      <c r="W18">
        <f>_xlfn.XLOOKUP(Table123160[[#This Row],[ACA Number]],Table127163137496173[NAT Number],Table127163137496173[run 2 points])</f>
        <v>18.37</v>
      </c>
      <c r="X18">
        <f>_xlfn.XLOOKUP(Table123160[[#This Row],[ACA Number]],Table127163137496173109[NAT Number],Table127163137496173109[run 1 points])</f>
        <v>118.78</v>
      </c>
      <c r="Y18">
        <f>_xlfn.XLOOKUP(Table123160[[#This Row],[ACA Number]],Table127163137496173109[NAT Number],Table127163137496173109[run 2 points])</f>
        <v>127</v>
      </c>
      <c r="Z18">
        <f>_xlfn.XLOOKUP(Table123160[[#This Row],[ACA Number]],Table127163137496173109115[NAT Number],Table127163137496173109115[run 1 points])</f>
        <v>67.680000000000007</v>
      </c>
      <c r="AA18">
        <f>_xlfn.XLOOKUP(Table123160[[#This Row],[ACA Number]],Table127163137496173109115[NAT Number],Table127163137496173109115[run 2 points])</f>
        <v>38.36</v>
      </c>
      <c r="AB18" cm="1">
        <f t="array" ref="AB18">_xlfn.LET(_xlpm.r,Table123160[[#This Row],[CM GS1 R1]:[MF GS R2]],_xlpm.m,_xlfn.AGGREGATE(15,6,_xlpm.r/(_xlpm.r&lt;&gt;999.99),1),IFERROR(_xlpm.m,999.99))</f>
        <v>18.37</v>
      </c>
      <c r="AD18">
        <v>122060</v>
      </c>
      <c r="AE18" t="s">
        <v>664</v>
      </c>
      <c r="AF18" t="s">
        <v>648</v>
      </c>
      <c r="AG18">
        <f>_xlfn.XLOOKUP(Table124161[[#This Row],[ACA Number]],Table127[NAT Number],Table127[TT race points])</f>
        <v>131.93</v>
      </c>
      <c r="AH18">
        <f>_xlfn.XLOOKUP(Table124161[[#This Row],[ACA Number]],Table12716[NAT Number],Table12716[TT race points])</f>
        <v>110.81</v>
      </c>
      <c r="AI18">
        <f>_xlfn.XLOOKUP(Table124161[[#This Row],[ACA Number]],Table12716313749617385[NAT Number],Table12716313749617385[TT race points])</f>
        <v>49.12</v>
      </c>
      <c r="AJ18" cm="1">
        <f t="array" ref="AJ18">_xlfn.LET(_xlpm.r,Table124161[[#This Row],[PM SL1]:[MF SL]],_xlpm.m,_xlfn.AGGREGATE(15,6,_xlpm.r/(_xlpm.r&lt;&gt;999.99),1),IFERROR(_xlpm.m,999.99))</f>
        <v>49.12</v>
      </c>
      <c r="AK18" cm="1">
        <f t="array" ref="AK18">_xlfn.LET(_xlpm.r,Table124161[[#This Row],[PM SL1]:[MF SL]],_xlpm.m,_xlfn.AGGREGATE(15,6,_xlpm.r/(_xlpm.r&lt;&gt;999.99),2),IFERROR(_xlpm.m,999.99))</f>
        <v>110.81</v>
      </c>
      <c r="AM18">
        <v>122060</v>
      </c>
      <c r="AN18" t="s">
        <v>664</v>
      </c>
      <c r="AO18" t="s">
        <v>648</v>
      </c>
      <c r="AP18">
        <f>_xlfn.XLOOKUP(Table125162[[#This Row],[ACA Number]],Table127163137496173[NAT Number],Table127163137496173[TT race points])</f>
        <v>999.99</v>
      </c>
      <c r="AQ18">
        <f>_xlfn.XLOOKUP(Table125162[[#This Row],[ACA Number]],Table127163137496173109[NAT Number],Table127163137496173109[TT race points])</f>
        <v>123.08</v>
      </c>
      <c r="AR18">
        <f>_xlfn.XLOOKUP(Table125162[[#This Row],[ACA Number]],Table127163137496173109115[NAT Number],Table127163137496173109115[TT race points])</f>
        <v>50.73</v>
      </c>
      <c r="AS18" cm="1">
        <f t="array" ref="AS18">_xlfn.LET(_xlpm.r,Table125162[[#This Row],[CM GS1]:[MF GS]],_xlpm.m,_xlfn.AGGREGATE(15,6,_xlpm.r/(_xlpm.r&lt;&gt;999.99),1),IFERROR(_xlpm.m,999.99))</f>
        <v>50.73</v>
      </c>
      <c r="AT18" cm="1">
        <f t="array" ref="AT18">_xlfn.LET(_xlpm.r,Table125162[[#This Row],[CM GS1]:[MF GS]],_xlpm.m,_xlfn.AGGREGATE(15,6,_xlpm.r/(_xlpm.r&lt;&gt;999.99),2),IFERROR(_xlpm.m,999.99))</f>
        <v>123.08</v>
      </c>
      <c r="AV18">
        <v>127401</v>
      </c>
      <c r="AW18" t="s">
        <v>658</v>
      </c>
      <c r="AX18" t="s">
        <v>648</v>
      </c>
      <c r="AY18">
        <f>_xlfn.XLOOKUP(Table126163[[#This Row],[ACA Number]],Table121158[ACA Number],Table121158[Best 1 run SL race])</f>
        <v>999.99</v>
      </c>
      <c r="AZ18">
        <f>_xlfn.XLOOKUP(Table126163[[#This Row],[ACA Number]],Table123160[ACA Number],Table123160[Best 1 Run])</f>
        <v>999.99</v>
      </c>
      <c r="BA18">
        <f>_xlfn.XLOOKUP(Table126163[[#This Row],[ACA Number]],Table122159[ACA Number],Table122159[Best 1 run GS Race])</f>
        <v>999.99</v>
      </c>
      <c r="BB18">
        <f>_xlfn.XLOOKUP(Table126163[[#This Row],[ACA Number]],Table124161[ACA Number],Table124161[Best result],)</f>
        <v>999.99</v>
      </c>
      <c r="BC18">
        <f>_xlfn.XLOOKUP(Table126163[[#This Row],[ACA Number]],Table124161[ACA Number],Table124161[2nd Best Result])</f>
        <v>999.99</v>
      </c>
      <c r="BD18">
        <f>_xlfn.XLOOKUP(Table126163[[#This Row],[ACA Number]],Table125162[ACA Number],Table125162[Best result])</f>
        <v>999.99</v>
      </c>
      <c r="BE18">
        <f>_xlfn.XLOOKUP(Table126163[[#This Row],[ACA Number]],Table125162[ACA Number],Table125162[2nd Best Result])</f>
        <v>999.99</v>
      </c>
      <c r="BF18">
        <f t="shared" si="0"/>
        <v>6999.9299999999994</v>
      </c>
      <c r="BG18">
        <f>_xlfn.RANK.EQ(Table126163[[#This Row],[Total Points]],Table126163[Total Points],1)</f>
        <v>13</v>
      </c>
    </row>
    <row r="19" spans="1:59" x14ac:dyDescent="0.3">
      <c r="A19">
        <v>106162</v>
      </c>
      <c r="B19" t="s">
        <v>665</v>
      </c>
      <c r="C19" t="s">
        <v>648</v>
      </c>
      <c r="D19">
        <f>_xlfn.XLOOKUP(Table121158[[#This Row],[ACA Number]],Table127[NAT Number],Table127[run 1 points])</f>
        <v>490.27</v>
      </c>
      <c r="E19">
        <f>_xlfn.XLOOKUP(Table121158[[#This Row],[ACA Number]],Table127[NAT Number],Table127[run 2 points])</f>
        <v>384.59</v>
      </c>
      <c r="F19">
        <f>_xlfn.XLOOKUP(Table121158[[#This Row],[ACA Number]],Table12716[NAT Number],Table12716[run 1 points])</f>
        <v>999.99</v>
      </c>
      <c r="G19">
        <f>_xlfn.XLOOKUP(Table121158[[#This Row],[ACA Number]],Table12716[NAT Number],Table12716[run 2 points])</f>
        <v>462.09</v>
      </c>
      <c r="H19">
        <f>_xlfn.XLOOKUP(Table121158[[#This Row],[ACA Number]],Table12716313749617385[NAT Number],Table12716313749617385[run 1 points])</f>
        <v>264.18</v>
      </c>
      <c r="I19">
        <f>_xlfn.XLOOKUP(Table121158[[#This Row],[ACA Number]],Table12716313749617385[NAT Number],Table12716313749617385[run 2 points])</f>
        <v>227.37</v>
      </c>
      <c r="J19" cm="1">
        <f t="array" ref="J19">_xlfn.LET(_xlpm.r,Table121158[[#This Row],[PM SL1 R1]:[MF SL1 R2]],_xlpm.m,_xlfn.AGGREGATE(15,6,_xlpm.r/(_xlpm.r&lt;&gt;999.99),1),IFERROR(_xlpm.m,999.99))</f>
        <v>227.37</v>
      </c>
      <c r="L19">
        <v>106162</v>
      </c>
      <c r="M19" t="s">
        <v>665</v>
      </c>
      <c r="N19" t="s">
        <v>648</v>
      </c>
      <c r="O19" t="e">
        <f>_xlfn.XLOOKUP(Table122159[[#This Row],[ACA Number]],Table127163191[NAT Number],Table127163191[run 1 points])</f>
        <v>#N/A</v>
      </c>
      <c r="P19" t="e">
        <f>_xlfn.XLOOKUP(Table122159[[#This Row],[ACA Number]],Table122110193494[NAT Number],Table122110193494[run 1 points])</f>
        <v>#N/A</v>
      </c>
      <c r="Q19" cm="1">
        <f t="array" ref="Q19">_xlfn.LET(_xlpm.r,Table122159[[#This Row],[CM SG R1]:[CM SG R2]],_xlpm.m,_xlfn.AGGREGATE(15,6,_xlpm.r/(_xlpm.r&lt;&gt;999.99),1),IFERROR(_xlpm.m,999.99))</f>
        <v>999.99</v>
      </c>
      <c r="S19">
        <v>106162</v>
      </c>
      <c r="T19" t="s">
        <v>665</v>
      </c>
      <c r="U19" t="s">
        <v>648</v>
      </c>
      <c r="V19" t="e">
        <f>_xlfn.XLOOKUP(Table123160[[#This Row],[ACA Number]],Table127163137496173[NAT Number],Table127163137496173[run 1 points])</f>
        <v>#N/A</v>
      </c>
      <c r="W19" t="e">
        <f>_xlfn.XLOOKUP(Table123160[[#This Row],[ACA Number]],Table127163137496173[NAT Number],Table127163137496173[run 2 points])</f>
        <v>#N/A</v>
      </c>
      <c r="X19" t="e">
        <f>_xlfn.XLOOKUP(Table123160[[#This Row],[ACA Number]],Table127163137496173109[NAT Number],Table127163137496173109[run 1 points])</f>
        <v>#N/A</v>
      </c>
      <c r="Y19" t="e">
        <f>_xlfn.XLOOKUP(Table123160[[#This Row],[ACA Number]],Table127163137496173109[NAT Number],Table127163137496173109[run 2 points])</f>
        <v>#N/A</v>
      </c>
      <c r="Z19">
        <f>_xlfn.XLOOKUP(Table123160[[#This Row],[ACA Number]],Table127163137496173109115[NAT Number],Table127163137496173109115[run 1 points])</f>
        <v>330.94</v>
      </c>
      <c r="AA19">
        <f>_xlfn.XLOOKUP(Table123160[[#This Row],[ACA Number]],Table127163137496173109115[NAT Number],Table127163137496173109115[run 2 points])</f>
        <v>277.77999999999997</v>
      </c>
      <c r="AB19" cm="1">
        <f t="array" ref="AB19">_xlfn.LET(_xlpm.r,Table123160[[#This Row],[CM GS1 R1]:[MF GS R2]],_xlpm.m,_xlfn.AGGREGATE(15,6,_xlpm.r/(_xlpm.r&lt;&gt;999.99),1),IFERROR(_xlpm.m,999.99))</f>
        <v>277.77999999999997</v>
      </c>
      <c r="AD19">
        <v>106162</v>
      </c>
      <c r="AE19" t="s">
        <v>665</v>
      </c>
      <c r="AF19" t="s">
        <v>648</v>
      </c>
      <c r="AG19">
        <f>_xlfn.XLOOKUP(Table124161[[#This Row],[ACA Number]],Table127[NAT Number],Table127[TT race points])</f>
        <v>434</v>
      </c>
      <c r="AH19">
        <f>_xlfn.XLOOKUP(Table124161[[#This Row],[ACA Number]],Table12716[NAT Number],Table12716[TT race points])</f>
        <v>999.99</v>
      </c>
      <c r="AI19">
        <f>_xlfn.XLOOKUP(Table124161[[#This Row],[ACA Number]],Table12716313749617385[NAT Number],Table12716313749617385[TT race points])</f>
        <v>244.74</v>
      </c>
      <c r="AJ19" cm="1">
        <f t="array" ref="AJ19">_xlfn.LET(_xlpm.r,Table124161[[#This Row],[PM SL1]:[MF SL]],_xlpm.m,_xlfn.AGGREGATE(15,6,_xlpm.r/(_xlpm.r&lt;&gt;999.99),1),IFERROR(_xlpm.m,999.99))</f>
        <v>244.74</v>
      </c>
      <c r="AK19" cm="1">
        <f t="array" ref="AK19">_xlfn.LET(_xlpm.r,Table124161[[#This Row],[PM SL1]:[MF SL]],_xlpm.m,_xlfn.AGGREGATE(15,6,_xlpm.r/(_xlpm.r&lt;&gt;999.99),2),IFERROR(_xlpm.m,999.99))</f>
        <v>434</v>
      </c>
      <c r="AM19">
        <v>106162</v>
      </c>
      <c r="AN19" t="s">
        <v>665</v>
      </c>
      <c r="AO19" t="s">
        <v>648</v>
      </c>
      <c r="AP19" t="e">
        <f>_xlfn.XLOOKUP(Table125162[[#This Row],[ACA Number]],Table127163137496173[NAT Number],Table127163137496173[TT race points])</f>
        <v>#N/A</v>
      </c>
      <c r="AQ19" t="e">
        <f>_xlfn.XLOOKUP(Table125162[[#This Row],[ACA Number]],Table127163137496173109[NAT Number],Table127163137496173109[TT race points])</f>
        <v>#N/A</v>
      </c>
      <c r="AR19">
        <f>_xlfn.XLOOKUP(Table125162[[#This Row],[ACA Number]],Table127163137496173109115[NAT Number],Table127163137496173109115[TT race points])</f>
        <v>301.42</v>
      </c>
      <c r="AS19" cm="1">
        <f t="array" ref="AS19">_xlfn.LET(_xlpm.r,Table125162[[#This Row],[CM GS1]:[MF GS]],_xlpm.m,_xlfn.AGGREGATE(15,6,_xlpm.r/(_xlpm.r&lt;&gt;999.99),1),IFERROR(_xlpm.m,999.99))</f>
        <v>301.42</v>
      </c>
      <c r="AT19" cm="1">
        <f t="array" ref="AT19">_xlfn.LET(_xlpm.r,Table125162[[#This Row],[CM GS1]:[MF GS]],_xlpm.m,_xlfn.AGGREGATE(15,6,_xlpm.r/(_xlpm.r&lt;&gt;999.99),2),IFERROR(_xlpm.m,999.99))</f>
        <v>999.99</v>
      </c>
      <c r="AV19">
        <v>127404</v>
      </c>
      <c r="AW19" t="s">
        <v>660</v>
      </c>
      <c r="AX19" t="s">
        <v>648</v>
      </c>
      <c r="AY19">
        <f>_xlfn.XLOOKUP(Table126163[[#This Row],[ACA Number]],Table121158[ACA Number],Table121158[Best 1 run SL race])</f>
        <v>999.99</v>
      </c>
      <c r="AZ19">
        <f>_xlfn.XLOOKUP(Table126163[[#This Row],[ACA Number]],Table123160[ACA Number],Table123160[Best 1 Run])</f>
        <v>999.99</v>
      </c>
      <c r="BA19">
        <f>_xlfn.XLOOKUP(Table126163[[#This Row],[ACA Number]],Table122159[ACA Number],Table122159[Best 1 run GS Race])</f>
        <v>999.99</v>
      </c>
      <c r="BB19">
        <f>_xlfn.XLOOKUP(Table126163[[#This Row],[ACA Number]],Table124161[ACA Number],Table124161[Best result],)</f>
        <v>999.99</v>
      </c>
      <c r="BC19">
        <f>_xlfn.XLOOKUP(Table126163[[#This Row],[ACA Number]],Table124161[ACA Number],Table124161[2nd Best Result])</f>
        <v>999.99</v>
      </c>
      <c r="BD19">
        <f>_xlfn.XLOOKUP(Table126163[[#This Row],[ACA Number]],Table125162[ACA Number],Table125162[Best result])</f>
        <v>999.99</v>
      </c>
      <c r="BE19">
        <f>_xlfn.XLOOKUP(Table126163[[#This Row],[ACA Number]],Table125162[ACA Number],Table125162[2nd Best Result])</f>
        <v>999.99</v>
      </c>
      <c r="BF19">
        <f t="shared" si="0"/>
        <v>6999.9299999999994</v>
      </c>
      <c r="BG19">
        <f>_xlfn.RANK.EQ(Table126163[[#This Row],[Total Points]],Table126163[Total Points],1)</f>
        <v>13</v>
      </c>
    </row>
    <row r="20" spans="1:59" x14ac:dyDescent="0.3">
      <c r="A20">
        <v>107172</v>
      </c>
      <c r="B20" t="s">
        <v>666</v>
      </c>
      <c r="C20" t="s">
        <v>648</v>
      </c>
      <c r="D20">
        <f>_xlfn.XLOOKUP(Table121158[[#This Row],[ACA Number]],Table127[NAT Number],Table127[run 1 points])</f>
        <v>519.91</v>
      </c>
      <c r="E20">
        <f>_xlfn.XLOOKUP(Table121158[[#This Row],[ACA Number]],Table127[NAT Number],Table127[run 2 points])</f>
        <v>383.13</v>
      </c>
      <c r="F20">
        <f>_xlfn.XLOOKUP(Table121158[[#This Row],[ACA Number]],Table12716[NAT Number],Table12716[run 1 points])</f>
        <v>428.86</v>
      </c>
      <c r="G20">
        <f>_xlfn.XLOOKUP(Table121158[[#This Row],[ACA Number]],Table12716[NAT Number],Table12716[run 2 points])</f>
        <v>460.49</v>
      </c>
      <c r="H20" t="e">
        <f>_xlfn.XLOOKUP(Table121158[[#This Row],[ACA Number]],Table12716313749617385[NAT Number],Table12716313749617385[run 1 points])</f>
        <v>#N/A</v>
      </c>
      <c r="I20" t="e">
        <f>_xlfn.XLOOKUP(Table121158[[#This Row],[ACA Number]],Table12716313749617385[NAT Number],Table12716313749617385[run 2 points])</f>
        <v>#N/A</v>
      </c>
      <c r="J20" cm="1">
        <f t="array" ref="J20">_xlfn.LET(_xlpm.r,Table121158[[#This Row],[PM SL1 R1]:[MF SL1 R2]],_xlpm.m,_xlfn.AGGREGATE(15,6,_xlpm.r/(_xlpm.r&lt;&gt;999.99),1),IFERROR(_xlpm.m,999.99))</f>
        <v>383.13</v>
      </c>
      <c r="L20">
        <v>107172</v>
      </c>
      <c r="M20" t="s">
        <v>666</v>
      </c>
      <c r="N20" t="s">
        <v>648</v>
      </c>
      <c r="O20">
        <f>_xlfn.XLOOKUP(Table122159[[#This Row],[ACA Number]],Table127163191[NAT Number],Table127163191[run 1 points])</f>
        <v>438.58</v>
      </c>
      <c r="P20">
        <f>_xlfn.XLOOKUP(Table122159[[#This Row],[ACA Number]],Table122110193494[NAT Number],Table122110193494[run 1 points])</f>
        <v>462.27</v>
      </c>
      <c r="Q20" cm="1">
        <f t="array" ref="Q20">_xlfn.LET(_xlpm.r,Table122159[[#This Row],[CM SG R1]:[CM SG R2]],_xlpm.m,_xlfn.AGGREGATE(15,6,_xlpm.r/(_xlpm.r&lt;&gt;999.99),1),IFERROR(_xlpm.m,999.99))</f>
        <v>438.58</v>
      </c>
      <c r="S20">
        <v>107172</v>
      </c>
      <c r="T20" t="s">
        <v>666</v>
      </c>
      <c r="U20" t="s">
        <v>648</v>
      </c>
      <c r="V20">
        <f>_xlfn.XLOOKUP(Table123160[[#This Row],[ACA Number]],Table127163137496173[NAT Number],Table127163137496173[run 1 points])</f>
        <v>346.26</v>
      </c>
      <c r="W20">
        <f>_xlfn.XLOOKUP(Table123160[[#This Row],[ACA Number]],Table127163137496173[NAT Number],Table127163137496173[run 2 points])</f>
        <v>240.66</v>
      </c>
      <c r="X20">
        <f>_xlfn.XLOOKUP(Table123160[[#This Row],[ACA Number]],Table127163137496173109[NAT Number],Table127163137496173109[run 1 points])</f>
        <v>999.99</v>
      </c>
      <c r="Y20">
        <f>_xlfn.XLOOKUP(Table123160[[#This Row],[ACA Number]],Table127163137496173109[NAT Number],Table127163137496173109[run 2 points])</f>
        <v>408.97</v>
      </c>
      <c r="Z20" t="e">
        <f>_xlfn.XLOOKUP(Table123160[[#This Row],[ACA Number]],Table127163137496173109115[NAT Number],Table127163137496173109115[run 1 points])</f>
        <v>#N/A</v>
      </c>
      <c r="AA20" t="e">
        <f>_xlfn.XLOOKUP(Table123160[[#This Row],[ACA Number]],Table127163137496173109115[NAT Number],Table127163137496173109115[run 2 points])</f>
        <v>#N/A</v>
      </c>
      <c r="AB20" cm="1">
        <f t="array" ref="AB20">_xlfn.LET(_xlpm.r,Table123160[[#This Row],[CM GS1 R1]:[MF GS R2]],_xlpm.m,_xlfn.AGGREGATE(15,6,_xlpm.r/(_xlpm.r&lt;&gt;999.99),1),IFERROR(_xlpm.m,999.99))</f>
        <v>240.66</v>
      </c>
      <c r="AD20">
        <v>107172</v>
      </c>
      <c r="AE20" t="s">
        <v>666</v>
      </c>
      <c r="AF20" t="s">
        <v>648</v>
      </c>
      <c r="AG20">
        <f>_xlfn.XLOOKUP(Table124161[[#This Row],[ACA Number]],Table127[NAT Number],Table127[TT race points])</f>
        <v>447.08</v>
      </c>
      <c r="AH20">
        <f>_xlfn.XLOOKUP(Table124161[[#This Row],[ACA Number]],Table12716[NAT Number],Table12716[TT race points])</f>
        <v>434.25</v>
      </c>
      <c r="AI20" t="e">
        <f>_xlfn.XLOOKUP(Table124161[[#This Row],[ACA Number]],Table12716313749617385[NAT Number],Table12716313749617385[TT race points])</f>
        <v>#N/A</v>
      </c>
      <c r="AJ20" cm="1">
        <f t="array" ref="AJ20">_xlfn.LET(_xlpm.r,Table124161[[#This Row],[PM SL1]:[MF SL]],_xlpm.m,_xlfn.AGGREGATE(15,6,_xlpm.r/(_xlpm.r&lt;&gt;999.99),1),IFERROR(_xlpm.m,999.99))</f>
        <v>434.25</v>
      </c>
      <c r="AK20" cm="1">
        <f t="array" ref="AK20">_xlfn.LET(_xlpm.r,Table124161[[#This Row],[PM SL1]:[MF SL]],_xlpm.m,_xlfn.AGGREGATE(15,6,_xlpm.r/(_xlpm.r&lt;&gt;999.99),2),IFERROR(_xlpm.m,999.99))</f>
        <v>447.08</v>
      </c>
      <c r="AM20">
        <v>107172</v>
      </c>
      <c r="AN20" t="s">
        <v>666</v>
      </c>
      <c r="AO20" t="s">
        <v>648</v>
      </c>
      <c r="AP20">
        <f>_xlfn.XLOOKUP(Table125162[[#This Row],[ACA Number]],Table127163137496173[NAT Number],Table127163137496173[TT race points])</f>
        <v>289.83999999999997</v>
      </c>
      <c r="AQ20">
        <f>_xlfn.XLOOKUP(Table125162[[#This Row],[ACA Number]],Table127163137496173109[NAT Number],Table127163137496173109[TT race points])</f>
        <v>999.99</v>
      </c>
      <c r="AR20" t="e">
        <f>_xlfn.XLOOKUP(Table125162[[#This Row],[ACA Number]],Table127163137496173109115[NAT Number],Table127163137496173109115[TT race points])</f>
        <v>#N/A</v>
      </c>
      <c r="AS20" cm="1">
        <f t="array" ref="AS20">_xlfn.LET(_xlpm.r,Table125162[[#This Row],[CM GS1]:[MF GS]],_xlpm.m,_xlfn.AGGREGATE(15,6,_xlpm.r/(_xlpm.r&lt;&gt;999.99),1),IFERROR(_xlpm.m,999.99))</f>
        <v>289.83999999999997</v>
      </c>
      <c r="AT20" cm="1">
        <f t="array" ref="AT20">_xlfn.LET(_xlpm.r,Table125162[[#This Row],[CM GS1]:[MF GS]],_xlpm.m,_xlfn.AGGREGATE(15,6,_xlpm.r/(_xlpm.r&lt;&gt;999.99),2),IFERROR(_xlpm.m,999.99))</f>
        <v>999.99</v>
      </c>
      <c r="AV20">
        <v>125595</v>
      </c>
      <c r="AW20" t="s">
        <v>662</v>
      </c>
      <c r="AX20" t="s">
        <v>648</v>
      </c>
      <c r="AY20">
        <f>_xlfn.XLOOKUP(Table126163[[#This Row],[ACA Number]],Table121158[ACA Number],Table121158[Best 1 run SL race])</f>
        <v>999.99</v>
      </c>
      <c r="AZ20">
        <f>_xlfn.XLOOKUP(Table126163[[#This Row],[ACA Number]],Table123160[ACA Number],Table123160[Best 1 Run])</f>
        <v>999.99</v>
      </c>
      <c r="BA20">
        <f>_xlfn.XLOOKUP(Table126163[[#This Row],[ACA Number]],Table122159[ACA Number],Table122159[Best 1 run GS Race])</f>
        <v>999.99</v>
      </c>
      <c r="BB20">
        <f>_xlfn.XLOOKUP(Table126163[[#This Row],[ACA Number]],Table124161[ACA Number],Table124161[Best result],)</f>
        <v>999.99</v>
      </c>
      <c r="BC20">
        <f>_xlfn.XLOOKUP(Table126163[[#This Row],[ACA Number]],Table124161[ACA Number],Table124161[2nd Best Result])</f>
        <v>999.99</v>
      </c>
      <c r="BD20">
        <f>_xlfn.XLOOKUP(Table126163[[#This Row],[ACA Number]],Table125162[ACA Number],Table125162[Best result])</f>
        <v>999.99</v>
      </c>
      <c r="BE20">
        <f>_xlfn.XLOOKUP(Table126163[[#This Row],[ACA Number]],Table125162[ACA Number],Table125162[2nd Best Result])</f>
        <v>999.99</v>
      </c>
      <c r="BF20">
        <f t="shared" si="0"/>
        <v>6999.9299999999994</v>
      </c>
      <c r="BG20">
        <f>_xlfn.RANK.EQ(Table126163[[#This Row],[Total Points]],Table126163[Total Points],1)</f>
        <v>13</v>
      </c>
    </row>
    <row r="21" spans="1:59" x14ac:dyDescent="0.3">
      <c r="A21">
        <v>127963</v>
      </c>
      <c r="B21" t="s">
        <v>667</v>
      </c>
      <c r="C21" t="s">
        <v>648</v>
      </c>
      <c r="D21" t="e">
        <f>_xlfn.XLOOKUP(Table121158[[#This Row],[ACA Number]],Table127[NAT Number],Table127[run 1 points])</f>
        <v>#N/A</v>
      </c>
      <c r="E21" t="e">
        <f>_xlfn.XLOOKUP(Table121158[[#This Row],[ACA Number]],Table127[NAT Number],Table127[run 2 points])</f>
        <v>#N/A</v>
      </c>
      <c r="F21" t="e">
        <f>_xlfn.XLOOKUP(Table121158[[#This Row],[ACA Number]],Table12716[NAT Number],Table12716[run 1 points])</f>
        <v>#N/A</v>
      </c>
      <c r="G21" t="e">
        <f>_xlfn.XLOOKUP(Table121158[[#This Row],[ACA Number]],Table12716[NAT Number],Table12716[run 2 points])</f>
        <v>#N/A</v>
      </c>
      <c r="H21" t="e">
        <f>_xlfn.XLOOKUP(Table121158[[#This Row],[ACA Number]],Table12716313749617385[NAT Number],Table12716313749617385[run 1 points])</f>
        <v>#N/A</v>
      </c>
      <c r="I21" t="e">
        <f>_xlfn.XLOOKUP(Table121158[[#This Row],[ACA Number]],Table12716313749617385[NAT Number],Table12716313749617385[run 2 points])</f>
        <v>#N/A</v>
      </c>
      <c r="J21" cm="1">
        <f t="array" ref="J21">_xlfn.LET(_xlpm.r,Table121158[[#This Row],[PM SL1 R1]:[MF SL1 R2]],_xlpm.m,_xlfn.AGGREGATE(15,6,_xlpm.r/(_xlpm.r&lt;&gt;999.99),1),IFERROR(_xlpm.m,999.99))</f>
        <v>999.99</v>
      </c>
      <c r="L21">
        <v>127963</v>
      </c>
      <c r="M21" t="s">
        <v>667</v>
      </c>
      <c r="N21" t="s">
        <v>648</v>
      </c>
      <c r="O21" t="e">
        <f>_xlfn.XLOOKUP(Table122159[[#This Row],[ACA Number]],Table127163191[NAT Number],Table127163191[run 1 points])</f>
        <v>#N/A</v>
      </c>
      <c r="P21" t="e">
        <f>_xlfn.XLOOKUP(Table122159[[#This Row],[ACA Number]],Table122110193494[NAT Number],Table122110193494[run 1 points])</f>
        <v>#N/A</v>
      </c>
      <c r="Q21" cm="1">
        <f t="array" ref="Q21">_xlfn.LET(_xlpm.r,Table122159[[#This Row],[CM SG R1]:[CM SG R2]],_xlpm.m,_xlfn.AGGREGATE(15,6,_xlpm.r/(_xlpm.r&lt;&gt;999.99),1),IFERROR(_xlpm.m,999.99))</f>
        <v>999.99</v>
      </c>
      <c r="S21">
        <v>127963</v>
      </c>
      <c r="T21" t="s">
        <v>667</v>
      </c>
      <c r="U21" t="s">
        <v>648</v>
      </c>
      <c r="V21" t="e">
        <f>_xlfn.XLOOKUP(Table123160[[#This Row],[ACA Number]],Table127163137496173[NAT Number],Table127163137496173[run 1 points])</f>
        <v>#N/A</v>
      </c>
      <c r="W21" t="e">
        <f>_xlfn.XLOOKUP(Table123160[[#This Row],[ACA Number]],Table127163137496173[NAT Number],Table127163137496173[run 2 points])</f>
        <v>#N/A</v>
      </c>
      <c r="X21" t="e">
        <f>_xlfn.XLOOKUP(Table123160[[#This Row],[ACA Number]],Table127163137496173109[NAT Number],Table127163137496173109[run 1 points])</f>
        <v>#N/A</v>
      </c>
      <c r="Y21" t="e">
        <f>_xlfn.XLOOKUP(Table123160[[#This Row],[ACA Number]],Table127163137496173109[NAT Number],Table127163137496173109[run 2 points])</f>
        <v>#N/A</v>
      </c>
      <c r="Z21" t="e">
        <f>_xlfn.XLOOKUP(Table123160[[#This Row],[ACA Number]],Table127163137496173109115[NAT Number],Table127163137496173109115[run 1 points])</f>
        <v>#N/A</v>
      </c>
      <c r="AA21" t="e">
        <f>_xlfn.XLOOKUP(Table123160[[#This Row],[ACA Number]],Table127163137496173109115[NAT Number],Table127163137496173109115[run 2 points])</f>
        <v>#N/A</v>
      </c>
      <c r="AB21" cm="1">
        <f t="array" ref="AB21">_xlfn.LET(_xlpm.r,Table123160[[#This Row],[CM GS1 R1]:[MF GS R2]],_xlpm.m,_xlfn.AGGREGATE(15,6,_xlpm.r/(_xlpm.r&lt;&gt;999.99),1),IFERROR(_xlpm.m,999.99))</f>
        <v>999.99</v>
      </c>
      <c r="AD21">
        <v>127963</v>
      </c>
      <c r="AE21" t="s">
        <v>667</v>
      </c>
      <c r="AF21" t="s">
        <v>648</v>
      </c>
      <c r="AG21" t="e">
        <f>_xlfn.XLOOKUP(Table124161[[#This Row],[ACA Number]],Table127[NAT Number],Table127[TT race points])</f>
        <v>#N/A</v>
      </c>
      <c r="AH21" t="e">
        <f>_xlfn.XLOOKUP(Table124161[[#This Row],[ACA Number]],Table12716[NAT Number],Table12716[TT race points])</f>
        <v>#N/A</v>
      </c>
      <c r="AI21" t="e">
        <f>_xlfn.XLOOKUP(Table124161[[#This Row],[ACA Number]],Table12716313749617385[NAT Number],Table12716313749617385[TT race points])</f>
        <v>#N/A</v>
      </c>
      <c r="AJ21" cm="1">
        <f t="array" ref="AJ21">_xlfn.LET(_xlpm.r,Table124161[[#This Row],[PM SL1]:[MF SL]],_xlpm.m,_xlfn.AGGREGATE(15,6,_xlpm.r/(_xlpm.r&lt;&gt;999.99),1),IFERROR(_xlpm.m,999.99))</f>
        <v>999.99</v>
      </c>
      <c r="AK21" cm="1">
        <f t="array" ref="AK21">_xlfn.LET(_xlpm.r,Table124161[[#This Row],[PM SL1]:[MF SL]],_xlpm.m,_xlfn.AGGREGATE(15,6,_xlpm.r/(_xlpm.r&lt;&gt;999.99),2),IFERROR(_xlpm.m,999.99))</f>
        <v>999.99</v>
      </c>
      <c r="AM21">
        <v>127963</v>
      </c>
      <c r="AN21" t="s">
        <v>667</v>
      </c>
      <c r="AO21" t="s">
        <v>648</v>
      </c>
      <c r="AP21" t="e">
        <f>_xlfn.XLOOKUP(Table125162[[#This Row],[ACA Number]],Table127163137496173[NAT Number],Table127163137496173[TT race points])</f>
        <v>#N/A</v>
      </c>
      <c r="AQ21" t="e">
        <f>_xlfn.XLOOKUP(Table125162[[#This Row],[ACA Number]],Table127163137496173109[NAT Number],Table127163137496173109[TT race points])</f>
        <v>#N/A</v>
      </c>
      <c r="AR21" t="e">
        <f>_xlfn.XLOOKUP(Table125162[[#This Row],[ACA Number]],Table127163137496173109115[NAT Number],Table127163137496173109115[TT race points])</f>
        <v>#N/A</v>
      </c>
      <c r="AS21" cm="1">
        <f t="array" ref="AS21">_xlfn.LET(_xlpm.r,Table125162[[#This Row],[CM GS1]:[MF GS]],_xlpm.m,_xlfn.AGGREGATE(15,6,_xlpm.r/(_xlpm.r&lt;&gt;999.99),1),IFERROR(_xlpm.m,999.99))</f>
        <v>999.99</v>
      </c>
      <c r="AT21" cm="1">
        <f t="array" ref="AT21">_xlfn.LET(_xlpm.r,Table125162[[#This Row],[CM GS1]:[MF GS]],_xlpm.m,_xlfn.AGGREGATE(15,6,_xlpm.r/(_xlpm.r&lt;&gt;999.99),2),IFERROR(_xlpm.m,999.99))</f>
        <v>999.99</v>
      </c>
      <c r="AV21">
        <v>127963</v>
      </c>
      <c r="AW21" t="s">
        <v>667</v>
      </c>
      <c r="AX21" t="s">
        <v>648</v>
      </c>
      <c r="AY21">
        <f>_xlfn.XLOOKUP(Table126163[[#This Row],[ACA Number]],Table121158[ACA Number],Table121158[Best 1 run SL race])</f>
        <v>999.99</v>
      </c>
      <c r="AZ21">
        <f>_xlfn.XLOOKUP(Table126163[[#This Row],[ACA Number]],Table123160[ACA Number],Table123160[Best 1 Run])</f>
        <v>999.99</v>
      </c>
      <c r="BA21">
        <f>_xlfn.XLOOKUP(Table126163[[#This Row],[ACA Number]],Table122159[ACA Number],Table122159[Best 1 run GS Race])</f>
        <v>999.99</v>
      </c>
      <c r="BB21">
        <f>_xlfn.XLOOKUP(Table126163[[#This Row],[ACA Number]],Table124161[ACA Number],Table124161[Best result],)</f>
        <v>999.99</v>
      </c>
      <c r="BC21">
        <f>_xlfn.XLOOKUP(Table126163[[#This Row],[ACA Number]],Table124161[ACA Number],Table124161[2nd Best Result])</f>
        <v>999.99</v>
      </c>
      <c r="BD21">
        <f>_xlfn.XLOOKUP(Table126163[[#This Row],[ACA Number]],Table125162[ACA Number],Table125162[Best result])</f>
        <v>999.99</v>
      </c>
      <c r="BE21">
        <f>_xlfn.XLOOKUP(Table126163[[#This Row],[ACA Number]],Table125162[ACA Number],Table125162[2nd Best Result])</f>
        <v>999.99</v>
      </c>
      <c r="BF21">
        <f t="shared" si="0"/>
        <v>6999.9299999999994</v>
      </c>
      <c r="BG21">
        <f>_xlfn.RANK.EQ(Table126163[[#This Row],[Total Points]],Table126163[Total Points],1)</f>
        <v>13</v>
      </c>
    </row>
  </sheetData>
  <mergeCells count="6">
    <mergeCell ref="AY1:BG1"/>
    <mergeCell ref="D1:J1"/>
    <mergeCell ref="O1:Q1"/>
    <mergeCell ref="V1:AB1"/>
    <mergeCell ref="AG1:AK1"/>
    <mergeCell ref="AP1:AT1"/>
  </mergeCells>
  <pageMargins left="0.7" right="0.7" top="0.75" bottom="0.75" header="0.3" footer="0.3"/>
  <tableParts count="6">
    <tablePart r:id="rId1"/>
    <tablePart r:id="rId2"/>
    <tablePart r:id="rId3"/>
    <tablePart r:id="rId4"/>
    <tablePart r:id="rId5"/>
    <tablePart r:id="rId6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F6FCD-B3F2-4E60-B1E4-29F0514E406F}">
  <dimension ref="A1:BG15"/>
  <sheetViews>
    <sheetView topLeftCell="AR1" workbookViewId="0">
      <selection activeCell="AV3" sqref="AV3:AX15"/>
    </sheetView>
  </sheetViews>
  <sheetFormatPr defaultRowHeight="14.4" x14ac:dyDescent="0.3"/>
  <cols>
    <col min="1" max="1" width="13.44140625" customWidth="1"/>
    <col min="3" max="3" width="10.21875" customWidth="1"/>
    <col min="4" max="7" width="10.44140625" customWidth="1"/>
    <col min="8" max="8" width="13.33203125" bestFit="1" customWidth="1"/>
    <col min="9" max="9" width="10.33203125" customWidth="1"/>
    <col min="10" max="10" width="17.21875" customWidth="1"/>
    <col min="12" max="12" width="13.21875" customWidth="1"/>
    <col min="14" max="14" width="10" customWidth="1"/>
    <col min="15" max="16" width="10.5546875" customWidth="1"/>
    <col min="17" max="17" width="17.88671875" customWidth="1"/>
    <col min="19" max="19" width="13.21875" customWidth="1"/>
    <col min="21" max="21" width="10" customWidth="1"/>
    <col min="22" max="25" width="10.5546875" customWidth="1"/>
    <col min="26" max="27" width="10.33203125" customWidth="1"/>
    <col min="28" max="28" width="11.21875" customWidth="1"/>
    <col min="30" max="30" width="13.21875" customWidth="1"/>
    <col min="32" max="32" width="10" customWidth="1"/>
    <col min="33" max="33" width="11.33203125" bestFit="1" customWidth="1"/>
    <col min="36" max="36" width="11.33203125" customWidth="1"/>
    <col min="37" max="37" width="15.109375" customWidth="1"/>
    <col min="39" max="39" width="13.21875" customWidth="1"/>
    <col min="41" max="41" width="10" customWidth="1"/>
    <col min="44" max="44" width="15" bestFit="1" customWidth="1"/>
    <col min="45" max="45" width="11.33203125" customWidth="1"/>
    <col min="46" max="46" width="15.109375" customWidth="1"/>
    <col min="48" max="48" width="13.21875" customWidth="1"/>
    <col min="49" max="49" width="15.6640625" bestFit="1" customWidth="1"/>
    <col min="50" max="50" width="10" customWidth="1"/>
    <col min="51" max="51" width="9.109375" customWidth="1"/>
    <col min="52" max="52" width="10" customWidth="1"/>
    <col min="53" max="53" width="9.21875" customWidth="1"/>
    <col min="54" max="54" width="12.6640625" customWidth="1"/>
    <col min="55" max="55" width="16" customWidth="1"/>
    <col min="56" max="56" width="13.109375" customWidth="1"/>
    <col min="57" max="57" width="16.44140625" customWidth="1"/>
    <col min="58" max="58" width="10.109375" customWidth="1"/>
    <col min="59" max="59" width="12.109375" customWidth="1"/>
  </cols>
  <sheetData>
    <row r="1" spans="1:59" ht="21" x14ac:dyDescent="0.4">
      <c r="A1" s="4"/>
      <c r="B1" s="4"/>
      <c r="C1" s="4"/>
      <c r="D1" s="7" t="s">
        <v>450</v>
      </c>
      <c r="E1" s="7"/>
      <c r="F1" s="7"/>
      <c r="G1" s="7"/>
      <c r="H1" s="7"/>
      <c r="I1" s="7"/>
      <c r="J1" s="7"/>
      <c r="K1" s="4"/>
      <c r="L1" s="4"/>
      <c r="M1" s="4"/>
      <c r="N1" s="4"/>
      <c r="O1" s="7" t="s">
        <v>452</v>
      </c>
      <c r="P1" s="7"/>
      <c r="Q1" s="7"/>
      <c r="R1" s="4"/>
      <c r="S1" s="4"/>
      <c r="T1" s="4"/>
      <c r="U1" s="4"/>
      <c r="V1" s="7" t="s">
        <v>451</v>
      </c>
      <c r="W1" s="7"/>
      <c r="X1" s="7"/>
      <c r="Y1" s="7"/>
      <c r="Z1" s="7"/>
      <c r="AA1" s="7"/>
      <c r="AB1" s="7"/>
      <c r="AC1" s="4"/>
      <c r="AD1" s="4"/>
      <c r="AE1" s="4"/>
      <c r="AF1" s="4"/>
      <c r="AG1" s="7" t="s">
        <v>453</v>
      </c>
      <c r="AH1" s="7"/>
      <c r="AI1" s="7"/>
      <c r="AJ1" s="7"/>
      <c r="AK1" s="7"/>
      <c r="AL1" s="4"/>
      <c r="AM1" s="4"/>
      <c r="AN1" s="4"/>
      <c r="AO1" s="4"/>
      <c r="AP1" s="7" t="s">
        <v>458</v>
      </c>
      <c r="AQ1" s="7"/>
      <c r="AR1" s="7"/>
      <c r="AS1" s="7"/>
      <c r="AT1" s="7"/>
      <c r="AU1" s="4"/>
      <c r="AV1" s="4"/>
      <c r="AW1" s="4"/>
      <c r="AX1" s="4"/>
      <c r="AY1" s="7" t="s">
        <v>603</v>
      </c>
      <c r="AZ1" s="7"/>
      <c r="BA1" s="7"/>
      <c r="BB1" s="7"/>
      <c r="BC1" s="7"/>
      <c r="BD1" s="7"/>
      <c r="BE1" s="7"/>
      <c r="BF1" s="7"/>
      <c r="BG1" s="7"/>
    </row>
    <row r="2" spans="1:59" x14ac:dyDescent="0.3">
      <c r="A2" t="s">
        <v>367</v>
      </c>
      <c r="B2" t="s">
        <v>368</v>
      </c>
      <c r="C2" t="s">
        <v>354</v>
      </c>
      <c r="D2" t="s">
        <v>604</v>
      </c>
      <c r="E2" t="s">
        <v>605</v>
      </c>
      <c r="F2" t="s">
        <v>606</v>
      </c>
      <c r="G2" t="s">
        <v>607</v>
      </c>
      <c r="H2" t="s">
        <v>608</v>
      </c>
      <c r="I2" t="s">
        <v>609</v>
      </c>
      <c r="J2" t="s">
        <v>456</v>
      </c>
      <c r="L2" t="s">
        <v>367</v>
      </c>
      <c r="M2" t="s">
        <v>368</v>
      </c>
      <c r="N2" t="s">
        <v>354</v>
      </c>
      <c r="O2" t="s">
        <v>610</v>
      </c>
      <c r="P2" t="s">
        <v>611</v>
      </c>
      <c r="Q2" t="s">
        <v>457</v>
      </c>
      <c r="S2" t="s">
        <v>367</v>
      </c>
      <c r="T2" t="s">
        <v>368</v>
      </c>
      <c r="U2" t="s">
        <v>354</v>
      </c>
      <c r="V2" t="s">
        <v>612</v>
      </c>
      <c r="W2" t="s">
        <v>613</v>
      </c>
      <c r="X2" t="s">
        <v>614</v>
      </c>
      <c r="Y2" t="s">
        <v>615</v>
      </c>
      <c r="Z2" t="s">
        <v>616</v>
      </c>
      <c r="AA2" t="s">
        <v>617</v>
      </c>
      <c r="AB2" t="s">
        <v>369</v>
      </c>
      <c r="AD2" t="s">
        <v>367</v>
      </c>
      <c r="AE2" t="s">
        <v>368</v>
      </c>
      <c r="AF2" t="s">
        <v>354</v>
      </c>
      <c r="AG2" t="s">
        <v>618</v>
      </c>
      <c r="AH2" t="s">
        <v>619</v>
      </c>
      <c r="AI2" t="s">
        <v>620</v>
      </c>
      <c r="AJ2" t="s">
        <v>454</v>
      </c>
      <c r="AK2" t="s">
        <v>455</v>
      </c>
      <c r="AM2" t="s">
        <v>367</v>
      </c>
      <c r="AN2" t="s">
        <v>368</v>
      </c>
      <c r="AO2" t="s">
        <v>354</v>
      </c>
      <c r="AP2" t="s">
        <v>621</v>
      </c>
      <c r="AQ2" t="s">
        <v>622</v>
      </c>
      <c r="AR2" t="s">
        <v>623</v>
      </c>
      <c r="AS2" t="s">
        <v>454</v>
      </c>
      <c r="AT2" t="s">
        <v>455</v>
      </c>
      <c r="AV2" t="s">
        <v>367</v>
      </c>
      <c r="AW2" t="s">
        <v>368</v>
      </c>
      <c r="AX2" t="s">
        <v>354</v>
      </c>
      <c r="AY2" t="s">
        <v>587</v>
      </c>
      <c r="AZ2" t="s">
        <v>581</v>
      </c>
      <c r="BA2" t="s">
        <v>582</v>
      </c>
      <c r="BB2" t="s">
        <v>583</v>
      </c>
      <c r="BC2" t="s">
        <v>584</v>
      </c>
      <c r="BD2" t="s">
        <v>585</v>
      </c>
      <c r="BE2" t="s">
        <v>586</v>
      </c>
      <c r="BF2" t="s">
        <v>588</v>
      </c>
      <c r="BG2" t="s">
        <v>624</v>
      </c>
    </row>
    <row r="3" spans="1:59" x14ac:dyDescent="0.3">
      <c r="A3">
        <v>121966</v>
      </c>
      <c r="B3" t="s">
        <v>719</v>
      </c>
      <c r="C3" t="s">
        <v>716</v>
      </c>
      <c r="D3">
        <f>_xlfn.XLOOKUP(Table121158164[[#This Row],[ACA Number]],Table1221[NAT Number],Table1221[run 1 points])</f>
        <v>359.66</v>
      </c>
      <c r="E3">
        <f>_xlfn.XLOOKUP(Table121158164[[#This Row],[ACA Number]],Table1221[NAT Number],Table1221[run 2 points])</f>
        <v>338.86</v>
      </c>
      <c r="F3">
        <f>_xlfn.XLOOKUP(Table121158164[[#This Row],[ACA Number]],Table122128[NAT Number],Table122128[run 1 points])</f>
        <v>308.76</v>
      </c>
      <c r="G3">
        <f>_xlfn.XLOOKUP(Table121158164[[#This Row],[ACA Number]],Table122128[NAT Number],Table122128[run 2 points])</f>
        <v>332.06</v>
      </c>
      <c r="H3">
        <f>_xlfn.XLOOKUP(Table121158164[[#This Row],[ACA Number]],Table122110193446587082[NAT Number],Table122110193446587082[run 1 points])</f>
        <v>350.28</v>
      </c>
      <c r="I3">
        <f>_xlfn.XLOOKUP(Table121158164[[#This Row],[ACA Number]],Table122110193446587082[NAT Number],Table122110193446587082[run 2 points])</f>
        <v>339.84</v>
      </c>
      <c r="J3" cm="1">
        <f t="array" ref="J3">_xlfn.LET(_xlpm.r,Table121158164[[#This Row],[PM SL1 R1]:[MF SL1 R2]],_xlpm.m,_xlfn.AGGREGATE(15,6,_xlpm.r/(_xlpm.r&lt;&gt;999.99),1),IFERROR(_xlpm.m,999.99))</f>
        <v>308.76</v>
      </c>
      <c r="L3">
        <v>121966</v>
      </c>
      <c r="M3" t="s">
        <v>719</v>
      </c>
      <c r="N3" t="s">
        <v>716</v>
      </c>
      <c r="O3" t="e">
        <f>_xlfn.XLOOKUP(Table122159165[[#This Row],[ACA Number]],Table1271631[NAT Number],Table1271631[run 1 points])</f>
        <v>#N/A</v>
      </c>
      <c r="P3" t="e">
        <f>_xlfn.XLOOKUP(Table122159165[[#This Row],[ACA Number]],Table1221101934[NAT Number],Table1221101934[run 1 points])</f>
        <v>#N/A</v>
      </c>
      <c r="Q3" cm="1">
        <f t="array" ref="Q3">_xlfn.LET(_xlpm.r,Table122159165[[#This Row],[CM SG R1]:[CM SG R2]],_xlpm.m,_xlfn.AGGREGATE(15,6,_xlpm.r/(_xlpm.r&lt;&gt;999.99),1),IFERROR(_xlpm.m,999.99))</f>
        <v>999.99</v>
      </c>
      <c r="S3">
        <v>121966</v>
      </c>
      <c r="T3" t="s">
        <v>719</v>
      </c>
      <c r="U3" t="s">
        <v>716</v>
      </c>
      <c r="V3">
        <f>_xlfn.XLOOKUP(Table123160166[[#This Row],[ACA Number]],Table1221101934465870100106[NAT Number],Table1221101934465870100106[run 1 points])</f>
        <v>230.7</v>
      </c>
      <c r="W3">
        <f>_xlfn.XLOOKUP(Table123160166[[#This Row],[ACA Number]],Table1221101934465870100106[NAT Number],Table1221101934465870100106[run 2 points])</f>
        <v>230.95</v>
      </c>
      <c r="X3">
        <f>_xlfn.XLOOKUP(Table123160166[[#This Row],[ACA Number]],Table1221101934465870100[NAT Number],Table1221101934465870100[run 1 points])</f>
        <v>214.28</v>
      </c>
      <c r="Y3">
        <f>_xlfn.XLOOKUP(Table123160166[[#This Row],[ACA Number]],Table1221101934465870100[NAT Number],Table1221101934465870100[run 2 points])</f>
        <v>274.85000000000002</v>
      </c>
      <c r="Z3">
        <f>_xlfn.XLOOKUP(Table123160166[[#This Row],[ACA Number]],Table1221101934465870[NAT Number],Table1221101934465870[run 1 points])</f>
        <v>212.54</v>
      </c>
      <c r="AA3">
        <f>_xlfn.XLOOKUP(Table123160166[[#This Row],[ACA Number]],Table1221101934465870[NAT Number],Table1221101934465870[run 2 points])</f>
        <v>168.32</v>
      </c>
      <c r="AB3" cm="1">
        <f t="array" ref="AB3">_xlfn.LET(_xlpm.r,Table123160166[[#This Row],[CM GS1 R1]:[MF GS R2]],_xlpm.m,_xlfn.AGGREGATE(15,6,_xlpm.r/(_xlpm.r&lt;&gt;999.99),1),IFERROR(_xlpm.m,999.99))</f>
        <v>168.32</v>
      </c>
      <c r="AD3">
        <v>121966</v>
      </c>
      <c r="AE3" t="s">
        <v>719</v>
      </c>
      <c r="AF3" t="s">
        <v>716</v>
      </c>
      <c r="AG3">
        <f>_xlfn.XLOOKUP(Table124161167[[#This Row],[ACA Number]],Table1221[NAT Number],Table1221[TT race points])</f>
        <v>349.46</v>
      </c>
      <c r="AH3">
        <f>_xlfn.XLOOKUP(Table124161167[[#This Row],[ACA Number]],Table122128[NAT Number],Table122128[TT race points])</f>
        <v>314.89999999999998</v>
      </c>
      <c r="AI3">
        <f>_xlfn.XLOOKUP(Table124161167[[#This Row],[ACA Number]],Table122110193446587082[NAT Number],Table122110193446587082[TT race points])</f>
        <v>320.44</v>
      </c>
      <c r="AJ3" cm="1">
        <f t="array" ref="AJ3">_xlfn.LET(_xlpm.r,Table124161167[[#This Row],[PM SL1]:[MF SL]],_xlpm.m,_xlfn.AGGREGATE(15,6,_xlpm.r/(_xlpm.r&lt;&gt;999.99),1),IFERROR(_xlpm.m,999.99))</f>
        <v>314.89999999999998</v>
      </c>
      <c r="AK3" cm="1">
        <f t="array" ref="AK3">_xlfn.LET(_xlpm.r,Table124161167[[#This Row],[PM SL1]:[MF SL]],_xlpm.m,_xlfn.AGGREGATE(15,6,_xlpm.r/(_xlpm.r&lt;&gt;999.99),2),IFERROR(_xlpm.m,999.99))</f>
        <v>320.44</v>
      </c>
      <c r="AM3">
        <v>121966</v>
      </c>
      <c r="AN3" t="s">
        <v>719</v>
      </c>
      <c r="AO3" t="s">
        <v>716</v>
      </c>
      <c r="AP3">
        <f>_xlfn.XLOOKUP(Table125162168[[#This Row],[ACA Number]],Table1221101934465870100106[NAT Number],Table1221101934465870100106[TT race points])</f>
        <v>230.83</v>
      </c>
      <c r="AQ3">
        <f>_xlfn.XLOOKUP(Table125162168[[#This Row],[ACA Number]],Table1221101934465870100[NAT Number],Table1221101934465870100[TT race points])</f>
        <v>244.25</v>
      </c>
      <c r="AR3">
        <f>_xlfn.XLOOKUP(Table125162168[[#This Row],[ACA Number]],Table1221101934465870[NAT Number],Table1221101934465870[TT race points])</f>
        <v>180.67</v>
      </c>
      <c r="AS3" cm="1">
        <f t="array" ref="AS3">_xlfn.LET(_xlpm.r,Table125162168[[#This Row],[CM GS1]:[MF GS]],_xlpm.m,_xlfn.AGGREGATE(15,6,_xlpm.r/(_xlpm.r&lt;&gt;999.99),1),IFERROR(_xlpm.m,999.99))</f>
        <v>180.67</v>
      </c>
      <c r="AT3" cm="1">
        <f t="array" ref="AT3">_xlfn.LET(_xlpm.r,Table125162168[[#This Row],[CM GS1]:[MF GS]],_xlpm.m,_xlfn.AGGREGATE(15,6,_xlpm.r/(_xlpm.r&lt;&gt;999.99),2),IFERROR(_xlpm.m,999.99))</f>
        <v>230.83</v>
      </c>
      <c r="AV3">
        <v>104647</v>
      </c>
      <c r="AW3" t="s">
        <v>717</v>
      </c>
      <c r="AX3" t="s">
        <v>716</v>
      </c>
      <c r="AY3">
        <f>_xlfn.XLOOKUP(Table126163169[[#This Row],[ACA Number]],Table121158164[ACA Number],Table121158164[Best 1 run SL race])</f>
        <v>84.99</v>
      </c>
      <c r="AZ3">
        <f>_xlfn.XLOOKUP(Table126163169[[#This Row],[ACA Number]],Table123160166[ACA Number],Table123160166[Best 1 Run])</f>
        <v>12.14</v>
      </c>
      <c r="BA3">
        <f>_xlfn.XLOOKUP(Table126163169[[#This Row],[ACA Number]],Table122159165[ACA Number],Table122159165[Best 1 run GS Race])</f>
        <v>161.52000000000001</v>
      </c>
      <c r="BB3">
        <f>_xlfn.XLOOKUP(Table126163169[[#This Row],[ACA Number]],Table124161167[ACA Number],Table124161167[Best result],)</f>
        <v>82.54</v>
      </c>
      <c r="BC3">
        <f>_xlfn.XLOOKUP(Table126163169[[#This Row],[ACA Number]],Table124161167[ACA Number],Table124161167[2nd Best Result])</f>
        <v>91.95</v>
      </c>
      <c r="BD3">
        <f>_xlfn.XLOOKUP(Table126163169[[#This Row],[ACA Number]],Table125162168[ACA Number],Table125162168[Best result])</f>
        <v>5.94</v>
      </c>
      <c r="BE3">
        <f>_xlfn.XLOOKUP(Table126163169[[#This Row],[ACA Number]],Table125162168[ACA Number],Table125162168[2nd Best Result])</f>
        <v>73.44</v>
      </c>
      <c r="BF3">
        <f t="shared" ref="BF3:BF15" si="0">SUM(AY3:BE3)</f>
        <v>512.52</v>
      </c>
      <c r="BG3">
        <f>_xlfn.RANK.EQ(Table126163169[[#This Row],[Total Points]],Table126163169[Total Points],1)</f>
        <v>1</v>
      </c>
    </row>
    <row r="4" spans="1:59" x14ac:dyDescent="0.3">
      <c r="A4">
        <v>102723</v>
      </c>
      <c r="B4" t="s">
        <v>720</v>
      </c>
      <c r="C4" t="s">
        <v>716</v>
      </c>
      <c r="D4">
        <f>_xlfn.XLOOKUP(Table121158164[[#This Row],[ACA Number]],Table1221[NAT Number],Table1221[run 1 points])</f>
        <v>113.37</v>
      </c>
      <c r="E4">
        <f>_xlfn.XLOOKUP(Table121158164[[#This Row],[ACA Number]],Table1221[NAT Number],Table1221[run 2 points])</f>
        <v>143.81</v>
      </c>
      <c r="F4">
        <f>_xlfn.XLOOKUP(Table121158164[[#This Row],[ACA Number]],Table122128[NAT Number],Table122128[run 1 points])</f>
        <v>139.72999999999999</v>
      </c>
      <c r="G4">
        <f>_xlfn.XLOOKUP(Table121158164[[#This Row],[ACA Number]],Table122128[NAT Number],Table122128[run 2 points])</f>
        <v>178.44</v>
      </c>
      <c r="H4">
        <f>_xlfn.XLOOKUP(Table121158164[[#This Row],[ACA Number]],Table122110193446587082[NAT Number],Table122110193446587082[run 1 points])</f>
        <v>144.96</v>
      </c>
      <c r="I4">
        <f>_xlfn.XLOOKUP(Table121158164[[#This Row],[ACA Number]],Table122110193446587082[NAT Number],Table122110193446587082[run 2 points])</f>
        <v>140.72</v>
      </c>
      <c r="J4" cm="1">
        <f t="array" ref="J4">_xlfn.LET(_xlpm.r,Table121158164[[#This Row],[PM SL1 R1]:[MF SL1 R2]],_xlpm.m,_xlfn.AGGREGATE(15,6,_xlpm.r/(_xlpm.r&lt;&gt;999.99),1),IFERROR(_xlpm.m,999.99))</f>
        <v>113.37</v>
      </c>
      <c r="L4">
        <v>102723</v>
      </c>
      <c r="M4" t="s">
        <v>720</v>
      </c>
      <c r="N4" t="s">
        <v>716</v>
      </c>
      <c r="O4">
        <f>_xlfn.XLOOKUP(Table122159165[[#This Row],[ACA Number]],Table1271631[NAT Number],Table1271631[run 1 points])</f>
        <v>208.85</v>
      </c>
      <c r="P4">
        <f>_xlfn.XLOOKUP(Table122159165[[#This Row],[ACA Number]],Table1221101934[NAT Number],Table1221101934[run 1 points])</f>
        <v>178.21</v>
      </c>
      <c r="Q4" cm="1">
        <f t="array" ref="Q4">_xlfn.LET(_xlpm.r,Table122159165[[#This Row],[CM SG R1]:[CM SG R2]],_xlpm.m,_xlfn.AGGREGATE(15,6,_xlpm.r/(_xlpm.r&lt;&gt;999.99),1),IFERROR(_xlpm.m,999.99))</f>
        <v>178.21</v>
      </c>
      <c r="S4">
        <v>102723</v>
      </c>
      <c r="T4" t="s">
        <v>720</v>
      </c>
      <c r="U4" t="s">
        <v>716</v>
      </c>
      <c r="V4">
        <f>_xlfn.XLOOKUP(Table123160166[[#This Row],[ACA Number]],Table1221101934465870100106[NAT Number],Table1221101934465870100106[run 1 points])</f>
        <v>135.74</v>
      </c>
      <c r="W4">
        <f>_xlfn.XLOOKUP(Table123160166[[#This Row],[ACA Number]],Table1221101934465870100106[NAT Number],Table1221101934465870100106[run 2 points])</f>
        <v>95.62</v>
      </c>
      <c r="X4">
        <f>_xlfn.XLOOKUP(Table123160166[[#This Row],[ACA Number]],Table1221101934465870100[NAT Number],Table1221101934465870100[run 1 points])</f>
        <v>94.07</v>
      </c>
      <c r="Y4">
        <f>_xlfn.XLOOKUP(Table123160166[[#This Row],[ACA Number]],Table1221101934465870100[NAT Number],Table1221101934465870100[run 2 points])</f>
        <v>98</v>
      </c>
      <c r="Z4">
        <f>_xlfn.XLOOKUP(Table123160166[[#This Row],[ACA Number]],Table1221101934465870[NAT Number],Table1221101934465870[run 1 points])</f>
        <v>54.17</v>
      </c>
      <c r="AA4">
        <f>_xlfn.XLOOKUP(Table123160166[[#This Row],[ACA Number]],Table1221101934465870[NAT Number],Table1221101934465870[run 2 points])</f>
        <v>55.81</v>
      </c>
      <c r="AB4" cm="1">
        <f t="array" ref="AB4">_xlfn.LET(_xlpm.r,Table123160166[[#This Row],[CM GS1 R1]:[MF GS R2]],_xlpm.m,_xlfn.AGGREGATE(15,6,_xlpm.r/(_xlpm.r&lt;&gt;999.99),1),IFERROR(_xlpm.m,999.99))</f>
        <v>54.17</v>
      </c>
      <c r="AD4">
        <v>102723</v>
      </c>
      <c r="AE4" t="s">
        <v>720</v>
      </c>
      <c r="AF4" t="s">
        <v>716</v>
      </c>
      <c r="AG4">
        <f>_xlfn.XLOOKUP(Table124161167[[#This Row],[ACA Number]],Table1221[NAT Number],Table1221[TT race points])</f>
        <v>128.29</v>
      </c>
      <c r="AH4">
        <f>_xlfn.XLOOKUP(Table124161167[[#This Row],[ACA Number]],Table122128[NAT Number],Table122128[TT race points])</f>
        <v>153.82</v>
      </c>
      <c r="AI4">
        <f>_xlfn.XLOOKUP(Table124161167[[#This Row],[ACA Number]],Table122110193446587082[NAT Number],Table122110193446587082[TT race points])</f>
        <v>122.88</v>
      </c>
      <c r="AJ4" cm="1">
        <f t="array" ref="AJ4">_xlfn.LET(_xlpm.r,Table124161167[[#This Row],[PM SL1]:[MF SL]],_xlpm.m,_xlfn.AGGREGATE(15,6,_xlpm.r/(_xlpm.r&lt;&gt;999.99),1),IFERROR(_xlpm.m,999.99))</f>
        <v>122.88</v>
      </c>
      <c r="AK4" cm="1">
        <f t="array" ref="AK4">_xlfn.LET(_xlpm.r,Table124161167[[#This Row],[PM SL1]:[MF SL]],_xlpm.m,_xlfn.AGGREGATE(15,6,_xlpm.r/(_xlpm.r&lt;&gt;999.99),2),IFERROR(_xlpm.m,999.99))</f>
        <v>128.29</v>
      </c>
      <c r="AM4">
        <v>102723</v>
      </c>
      <c r="AN4" t="s">
        <v>720</v>
      </c>
      <c r="AO4" t="s">
        <v>716</v>
      </c>
      <c r="AP4">
        <f>_xlfn.XLOOKUP(Table125162168[[#This Row],[ACA Number]],Table1221101934465870100106[NAT Number],Table1221101934465870100106[TT race points])</f>
        <v>114.99</v>
      </c>
      <c r="AQ4">
        <f>_xlfn.XLOOKUP(Table125162168[[#This Row],[ACA Number]],Table1221101934465870100[NAT Number],Table1221101934465870100[TT race points])</f>
        <v>95.73</v>
      </c>
      <c r="AR4">
        <f>_xlfn.XLOOKUP(Table125162168[[#This Row],[ACA Number]],Table1221101934465870[NAT Number],Table1221101934465870[TT race points])</f>
        <v>47.41</v>
      </c>
      <c r="AS4" cm="1">
        <f t="array" ref="AS4">_xlfn.LET(_xlpm.r,Table125162168[[#This Row],[CM GS1]:[MF GS]],_xlpm.m,_xlfn.AGGREGATE(15,6,_xlpm.r/(_xlpm.r&lt;&gt;999.99),1),IFERROR(_xlpm.m,999.99))</f>
        <v>47.41</v>
      </c>
      <c r="AT4" cm="1">
        <f t="array" ref="AT4">_xlfn.LET(_xlpm.r,Table125162168[[#This Row],[CM GS1]:[MF GS]],_xlpm.m,_xlfn.AGGREGATE(15,6,_xlpm.r/(_xlpm.r&lt;&gt;999.99),2),IFERROR(_xlpm.m,999.99))</f>
        <v>95.73</v>
      </c>
      <c r="AV4">
        <v>102723</v>
      </c>
      <c r="AW4" t="s">
        <v>720</v>
      </c>
      <c r="AX4" t="s">
        <v>716</v>
      </c>
      <c r="AY4">
        <f>_xlfn.XLOOKUP(Table126163169[[#This Row],[ACA Number]],Table121158164[ACA Number],Table121158164[Best 1 run SL race])</f>
        <v>113.37</v>
      </c>
      <c r="AZ4">
        <f>_xlfn.XLOOKUP(Table126163169[[#This Row],[ACA Number]],Table123160166[ACA Number],Table123160166[Best 1 Run])</f>
        <v>54.17</v>
      </c>
      <c r="BA4">
        <f>_xlfn.XLOOKUP(Table126163169[[#This Row],[ACA Number]],Table122159165[ACA Number],Table122159165[Best 1 run GS Race])</f>
        <v>178.21</v>
      </c>
      <c r="BB4">
        <f>_xlfn.XLOOKUP(Table126163169[[#This Row],[ACA Number]],Table124161167[ACA Number],Table124161167[Best result],)</f>
        <v>122.88</v>
      </c>
      <c r="BC4">
        <f>_xlfn.XLOOKUP(Table126163169[[#This Row],[ACA Number]],Table124161167[ACA Number],Table124161167[2nd Best Result])</f>
        <v>128.29</v>
      </c>
      <c r="BD4">
        <f>_xlfn.XLOOKUP(Table126163169[[#This Row],[ACA Number]],Table125162168[ACA Number],Table125162168[Best result])</f>
        <v>47.41</v>
      </c>
      <c r="BE4">
        <f>_xlfn.XLOOKUP(Table126163169[[#This Row],[ACA Number]],Table125162168[ACA Number],Table125162168[2nd Best Result])</f>
        <v>95.73</v>
      </c>
      <c r="BF4">
        <f t="shared" si="0"/>
        <v>740.06</v>
      </c>
      <c r="BG4">
        <f>_xlfn.RANK.EQ(Table126163169[[#This Row],[Total Points]],Table126163169[Total Points],1)</f>
        <v>2</v>
      </c>
    </row>
    <row r="5" spans="1:59" x14ac:dyDescent="0.3">
      <c r="A5">
        <v>92169</v>
      </c>
      <c r="B5" t="s">
        <v>721</v>
      </c>
      <c r="C5" t="s">
        <v>716</v>
      </c>
      <c r="D5">
        <f>_xlfn.XLOOKUP(Table121158164[[#This Row],[ACA Number]],Table1221[NAT Number],Table1221[run 1 points])</f>
        <v>999.99</v>
      </c>
      <c r="E5">
        <f>_xlfn.XLOOKUP(Table121158164[[#This Row],[ACA Number]],Table1221[NAT Number],Table1221[run 2 points])</f>
        <v>76.25</v>
      </c>
      <c r="F5">
        <f>_xlfn.XLOOKUP(Table121158164[[#This Row],[ACA Number]],Table122128[NAT Number],Table122128[run 1 points])</f>
        <v>999.99</v>
      </c>
      <c r="G5">
        <f>_xlfn.XLOOKUP(Table121158164[[#This Row],[ACA Number]],Table122128[NAT Number],Table122128[run 2 points])</f>
        <v>999.99</v>
      </c>
      <c r="H5">
        <f>_xlfn.XLOOKUP(Table121158164[[#This Row],[ACA Number]],Table122110193446587082[NAT Number],Table122110193446587082[run 1 points])</f>
        <v>87.12</v>
      </c>
      <c r="I5">
        <f>_xlfn.XLOOKUP(Table121158164[[#This Row],[ACA Number]],Table122110193446587082[NAT Number],Table122110193446587082[run 2 points])</f>
        <v>97.04</v>
      </c>
      <c r="J5" cm="1">
        <f t="array" ref="J5">_xlfn.LET(_xlpm.r,Table121158164[[#This Row],[PM SL1 R1]:[MF SL1 R2]],_xlpm.m,_xlfn.AGGREGATE(15,6,_xlpm.r/(_xlpm.r&lt;&gt;999.99),1),IFERROR(_xlpm.m,999.99))</f>
        <v>76.25</v>
      </c>
      <c r="L5">
        <v>92169</v>
      </c>
      <c r="M5" t="s">
        <v>721</v>
      </c>
      <c r="N5" t="s">
        <v>716</v>
      </c>
      <c r="O5">
        <f>_xlfn.XLOOKUP(Table122159165[[#This Row],[ACA Number]],Table1271631[NAT Number],Table1271631[run 1 points])</f>
        <v>999.99</v>
      </c>
      <c r="P5">
        <f>_xlfn.XLOOKUP(Table122159165[[#This Row],[ACA Number]],Table1221101934[NAT Number],Table1221101934[run 1 points])</f>
        <v>999.99</v>
      </c>
      <c r="Q5" cm="1">
        <f t="array" ref="Q5">_xlfn.LET(_xlpm.r,Table122159165[[#This Row],[CM SG R1]:[CM SG R2]],_xlpm.m,_xlfn.AGGREGATE(15,6,_xlpm.r/(_xlpm.r&lt;&gt;999.99),1),IFERROR(_xlpm.m,999.99))</f>
        <v>999.99</v>
      </c>
      <c r="S5">
        <v>92169</v>
      </c>
      <c r="T5" t="s">
        <v>721</v>
      </c>
      <c r="U5" t="s">
        <v>716</v>
      </c>
      <c r="V5">
        <f>_xlfn.XLOOKUP(Table123160166[[#This Row],[ACA Number]],Table1221101934465870100106[NAT Number],Table1221101934465870100106[run 1 points])</f>
        <v>999.99</v>
      </c>
      <c r="W5">
        <f>_xlfn.XLOOKUP(Table123160166[[#This Row],[ACA Number]],Table1221101934465870100106[NAT Number],Table1221101934465870100106[run 2 points])</f>
        <v>999.99</v>
      </c>
      <c r="X5">
        <f>_xlfn.XLOOKUP(Table123160166[[#This Row],[ACA Number]],Table1221101934465870100[NAT Number],Table1221101934465870100[run 1 points])</f>
        <v>999.99</v>
      </c>
      <c r="Y5">
        <f>_xlfn.XLOOKUP(Table123160166[[#This Row],[ACA Number]],Table1221101934465870100[NAT Number],Table1221101934465870100[run 2 points])</f>
        <v>999.99</v>
      </c>
      <c r="Z5">
        <f>_xlfn.XLOOKUP(Table123160166[[#This Row],[ACA Number]],Table1221101934465870[NAT Number],Table1221101934465870[run 1 points])</f>
        <v>52.9</v>
      </c>
      <c r="AA5">
        <f>_xlfn.XLOOKUP(Table123160166[[#This Row],[ACA Number]],Table1221101934465870[NAT Number],Table1221101934465870[run 2 points])</f>
        <v>33.75</v>
      </c>
      <c r="AB5" cm="1">
        <f t="array" ref="AB5">_xlfn.LET(_xlpm.r,Table123160166[[#This Row],[CM GS1 R1]:[MF GS R2]],_xlpm.m,_xlfn.AGGREGATE(15,6,_xlpm.r/(_xlpm.r&lt;&gt;999.99),1),IFERROR(_xlpm.m,999.99))</f>
        <v>33.75</v>
      </c>
      <c r="AD5">
        <v>92169</v>
      </c>
      <c r="AE5" t="s">
        <v>721</v>
      </c>
      <c r="AF5" t="s">
        <v>716</v>
      </c>
      <c r="AG5">
        <f>_xlfn.XLOOKUP(Table124161167[[#This Row],[ACA Number]],Table1221[NAT Number],Table1221[TT race points])</f>
        <v>999.99</v>
      </c>
      <c r="AH5">
        <f>_xlfn.XLOOKUP(Table124161167[[#This Row],[ACA Number]],Table122128[NAT Number],Table122128[TT race points])</f>
        <v>999.99</v>
      </c>
      <c r="AI5">
        <f>_xlfn.XLOOKUP(Table124161167[[#This Row],[ACA Number]],Table122110193446587082[NAT Number],Table122110193446587082[TT race points])</f>
        <v>73.39</v>
      </c>
      <c r="AJ5" cm="1">
        <f t="array" ref="AJ5">_xlfn.LET(_xlpm.r,Table124161167[[#This Row],[PM SL1]:[MF SL]],_xlpm.m,_xlfn.AGGREGATE(15,6,_xlpm.r/(_xlpm.r&lt;&gt;999.99),1),IFERROR(_xlpm.m,999.99))</f>
        <v>73.39</v>
      </c>
      <c r="AK5" cm="1">
        <f t="array" ref="AK5">_xlfn.LET(_xlpm.r,Table124161167[[#This Row],[PM SL1]:[MF SL]],_xlpm.m,_xlfn.AGGREGATE(15,6,_xlpm.r/(_xlpm.r&lt;&gt;999.99),2),IFERROR(_xlpm.m,999.99))</f>
        <v>999.99</v>
      </c>
      <c r="AM5">
        <v>92169</v>
      </c>
      <c r="AN5" t="s">
        <v>721</v>
      </c>
      <c r="AO5" t="s">
        <v>716</v>
      </c>
      <c r="AP5">
        <f>_xlfn.XLOOKUP(Table125162168[[#This Row],[ACA Number]],Table1221101934465870100106[NAT Number],Table1221101934465870100106[TT race points])</f>
        <v>999.99</v>
      </c>
      <c r="AQ5">
        <f>_xlfn.XLOOKUP(Table125162168[[#This Row],[ACA Number]],Table1221101934465870100[NAT Number],Table1221101934465870100[TT race points])</f>
        <v>999.99</v>
      </c>
      <c r="AR5">
        <f>_xlfn.XLOOKUP(Table125162168[[#This Row],[ACA Number]],Table1221101934465870[NAT Number],Table1221101934465870[TT race points])</f>
        <v>35.46</v>
      </c>
      <c r="AS5" cm="1">
        <f t="array" ref="AS5">_xlfn.LET(_xlpm.r,Table125162168[[#This Row],[CM GS1]:[MF GS]],_xlpm.m,_xlfn.AGGREGATE(15,6,_xlpm.r/(_xlpm.r&lt;&gt;999.99),1),IFERROR(_xlpm.m,999.99))</f>
        <v>35.46</v>
      </c>
      <c r="AT5" cm="1">
        <f t="array" ref="AT5">_xlfn.LET(_xlpm.r,Table125162168[[#This Row],[CM GS1]:[MF GS]],_xlpm.m,_xlfn.AGGREGATE(15,6,_xlpm.r/(_xlpm.r&lt;&gt;999.99),2),IFERROR(_xlpm.m,999.99))</f>
        <v>999.99</v>
      </c>
      <c r="AV5">
        <v>104665</v>
      </c>
      <c r="AW5" t="s">
        <v>724</v>
      </c>
      <c r="AX5" t="s">
        <v>716</v>
      </c>
      <c r="AY5">
        <f>_xlfn.XLOOKUP(Table126163169[[#This Row],[ACA Number]],Table121158164[ACA Number],Table121158164[Best 1 run SL race])</f>
        <v>158.19</v>
      </c>
      <c r="AZ5">
        <f>_xlfn.XLOOKUP(Table126163169[[#This Row],[ACA Number]],Table123160166[ACA Number],Table123160166[Best 1 Run])</f>
        <v>57.05</v>
      </c>
      <c r="BA5">
        <f>_xlfn.XLOOKUP(Table126163169[[#This Row],[ACA Number]],Table122159165[ACA Number],Table122159165[Best 1 run GS Race])</f>
        <v>222.82</v>
      </c>
      <c r="BB5">
        <f>_xlfn.XLOOKUP(Table126163169[[#This Row],[ACA Number]],Table124161167[ACA Number],Table124161167[Best result],)</f>
        <v>147.63</v>
      </c>
      <c r="BC5">
        <f>_xlfn.XLOOKUP(Table126163169[[#This Row],[ACA Number]],Table124161167[ACA Number],Table124161167[2nd Best Result])</f>
        <v>196.23</v>
      </c>
      <c r="BD5">
        <f>_xlfn.XLOOKUP(Table126163169[[#This Row],[ACA Number]],Table125162168[ACA Number],Table125162168[Best result])</f>
        <v>144.38</v>
      </c>
      <c r="BE5">
        <f>_xlfn.XLOOKUP(Table126163169[[#This Row],[ACA Number]],Table125162168[ACA Number],Table125162168[2nd Best Result])</f>
        <v>163.07</v>
      </c>
      <c r="BF5">
        <f t="shared" si="0"/>
        <v>1089.3700000000001</v>
      </c>
      <c r="BG5">
        <f>_xlfn.RANK.EQ(Table126163169[[#This Row],[Total Points]],Table126163169[Total Points],1)</f>
        <v>3</v>
      </c>
    </row>
    <row r="6" spans="1:59" x14ac:dyDescent="0.3">
      <c r="A6">
        <v>92167</v>
      </c>
      <c r="B6" t="s">
        <v>722</v>
      </c>
      <c r="C6" t="s">
        <v>716</v>
      </c>
      <c r="D6">
        <f>_xlfn.XLOOKUP(Table121158164[[#This Row],[ACA Number]],Table1221[NAT Number],Table1221[run 1 points])</f>
        <v>277.51</v>
      </c>
      <c r="E6">
        <f>_xlfn.XLOOKUP(Table121158164[[#This Row],[ACA Number]],Table1221[NAT Number],Table1221[run 2 points])</f>
        <v>999.99</v>
      </c>
      <c r="F6">
        <f>_xlfn.XLOOKUP(Table121158164[[#This Row],[ACA Number]],Table122128[NAT Number],Table122128[run 1 points])</f>
        <v>219.15</v>
      </c>
      <c r="G6">
        <f>_xlfn.XLOOKUP(Table121158164[[#This Row],[ACA Number]],Table122128[NAT Number],Table122128[run 2 points])</f>
        <v>300.61</v>
      </c>
      <c r="H6">
        <f>_xlfn.XLOOKUP(Table121158164[[#This Row],[ACA Number]],Table122110193446587082[NAT Number],Table122110193446587082[run 1 points])</f>
        <v>234.61</v>
      </c>
      <c r="I6">
        <f>_xlfn.XLOOKUP(Table121158164[[#This Row],[ACA Number]],Table122110193446587082[NAT Number],Table122110193446587082[run 2 points])</f>
        <v>215.55</v>
      </c>
      <c r="J6" cm="1">
        <f t="array" ref="J6">_xlfn.LET(_xlpm.r,Table121158164[[#This Row],[PM SL1 R1]:[MF SL1 R2]],_xlpm.m,_xlfn.AGGREGATE(15,6,_xlpm.r/(_xlpm.r&lt;&gt;999.99),1),IFERROR(_xlpm.m,999.99))</f>
        <v>215.55</v>
      </c>
      <c r="L6">
        <v>92167</v>
      </c>
      <c r="M6" t="s">
        <v>722</v>
      </c>
      <c r="N6" t="s">
        <v>716</v>
      </c>
      <c r="O6">
        <f>_xlfn.XLOOKUP(Table122159165[[#This Row],[ACA Number]],Table1271631[NAT Number],Table1271631[run 1 points])</f>
        <v>365.31</v>
      </c>
      <c r="P6">
        <f>_xlfn.XLOOKUP(Table122159165[[#This Row],[ACA Number]],Table1221101934[NAT Number],Table1221101934[run 1 points])</f>
        <v>343.67</v>
      </c>
      <c r="Q6" cm="1">
        <f t="array" ref="Q6">_xlfn.LET(_xlpm.r,Table122159165[[#This Row],[CM SG R1]:[CM SG R2]],_xlpm.m,_xlfn.AGGREGATE(15,6,_xlpm.r/(_xlpm.r&lt;&gt;999.99),1),IFERROR(_xlpm.m,999.99))</f>
        <v>343.67</v>
      </c>
      <c r="S6">
        <v>92167</v>
      </c>
      <c r="T6" t="s">
        <v>722</v>
      </c>
      <c r="U6" t="s">
        <v>716</v>
      </c>
      <c r="V6">
        <f>_xlfn.XLOOKUP(Table123160166[[#This Row],[ACA Number]],Table1221101934465870100106[NAT Number],Table1221101934465870100106[run 1 points])</f>
        <v>116.17</v>
      </c>
      <c r="W6">
        <f>_xlfn.XLOOKUP(Table123160166[[#This Row],[ACA Number]],Table1221101934465870100106[NAT Number],Table1221101934465870100106[run 2 points])</f>
        <v>126.9</v>
      </c>
      <c r="X6">
        <f>_xlfn.XLOOKUP(Table123160166[[#This Row],[ACA Number]],Table1221101934465870100[NAT Number],Table1221101934465870100[run 1 points])</f>
        <v>999.99</v>
      </c>
      <c r="Y6">
        <f>_xlfn.XLOOKUP(Table123160166[[#This Row],[ACA Number]],Table1221101934465870100[NAT Number],Table1221101934465870100[run 2 points])</f>
        <v>171.47</v>
      </c>
      <c r="Z6">
        <f>_xlfn.XLOOKUP(Table123160166[[#This Row],[ACA Number]],Table1221101934465870[NAT Number],Table1221101934465870[run 1 points])</f>
        <v>89.81</v>
      </c>
      <c r="AA6">
        <f>_xlfn.XLOOKUP(Table123160166[[#This Row],[ACA Number]],Table1221101934465870[NAT Number],Table1221101934465870[run 2 points])</f>
        <v>62.18</v>
      </c>
      <c r="AB6" cm="1">
        <f t="array" ref="AB6">_xlfn.LET(_xlpm.r,Table123160166[[#This Row],[CM GS1 R1]:[MF GS R2]],_xlpm.m,_xlfn.AGGREGATE(15,6,_xlpm.r/(_xlpm.r&lt;&gt;999.99),1),IFERROR(_xlpm.m,999.99))</f>
        <v>62.18</v>
      </c>
      <c r="AD6">
        <v>92167</v>
      </c>
      <c r="AE6" t="s">
        <v>722</v>
      </c>
      <c r="AF6" t="s">
        <v>716</v>
      </c>
      <c r="AG6">
        <f>_xlfn.XLOOKUP(Table124161167[[#This Row],[ACA Number]],Table1221[NAT Number],Table1221[TT race points])</f>
        <v>999.99</v>
      </c>
      <c r="AH6">
        <f>_xlfn.XLOOKUP(Table124161167[[#This Row],[ACA Number]],Table122128[NAT Number],Table122128[TT race points])</f>
        <v>252.8</v>
      </c>
      <c r="AI6">
        <f>_xlfn.XLOOKUP(Table124161167[[#This Row],[ACA Number]],Table122110193446587082[NAT Number],Table122110193446587082[TT race points])</f>
        <v>203.14</v>
      </c>
      <c r="AJ6" cm="1">
        <f t="array" ref="AJ6">_xlfn.LET(_xlpm.r,Table124161167[[#This Row],[PM SL1]:[MF SL]],_xlpm.m,_xlfn.AGGREGATE(15,6,_xlpm.r/(_xlpm.r&lt;&gt;999.99),1),IFERROR(_xlpm.m,999.99))</f>
        <v>203.14</v>
      </c>
      <c r="AK6" cm="1">
        <f t="array" ref="AK6">_xlfn.LET(_xlpm.r,Table124161167[[#This Row],[PM SL1]:[MF SL]],_xlpm.m,_xlfn.AGGREGATE(15,6,_xlpm.r/(_xlpm.r&lt;&gt;999.99),2),IFERROR(_xlpm.m,999.99))</f>
        <v>252.8</v>
      </c>
      <c r="AM6">
        <v>92167</v>
      </c>
      <c r="AN6" t="s">
        <v>722</v>
      </c>
      <c r="AO6" t="s">
        <v>716</v>
      </c>
      <c r="AP6">
        <f>_xlfn.XLOOKUP(Table125162168[[#This Row],[ACA Number]],Table1221101934465870100106[NAT Number],Table1221101934465870100106[TT race points])</f>
        <v>121.72</v>
      </c>
      <c r="AQ6">
        <f>_xlfn.XLOOKUP(Table125162168[[#This Row],[ACA Number]],Table1221101934465870100[NAT Number],Table1221101934465870100[TT race points])</f>
        <v>999.99</v>
      </c>
      <c r="AR6">
        <f>_xlfn.XLOOKUP(Table125162168[[#This Row],[ACA Number]],Table1221101934465870[NAT Number],Table1221101934465870[TT race points])</f>
        <v>67.66</v>
      </c>
      <c r="AS6" cm="1">
        <f t="array" ref="AS6">_xlfn.LET(_xlpm.r,Table125162168[[#This Row],[CM GS1]:[MF GS]],_xlpm.m,_xlfn.AGGREGATE(15,6,_xlpm.r/(_xlpm.r&lt;&gt;999.99),1),IFERROR(_xlpm.m,999.99))</f>
        <v>67.66</v>
      </c>
      <c r="AT6" cm="1">
        <f t="array" ref="AT6">_xlfn.LET(_xlpm.r,Table125162168[[#This Row],[CM GS1]:[MF GS]],_xlpm.m,_xlfn.AGGREGATE(15,6,_xlpm.r/(_xlpm.r&lt;&gt;999.99),2),IFERROR(_xlpm.m,999.99))</f>
        <v>121.72</v>
      </c>
      <c r="AV6">
        <v>89752</v>
      </c>
      <c r="AW6" t="s">
        <v>723</v>
      </c>
      <c r="AX6" t="s">
        <v>716</v>
      </c>
      <c r="AY6">
        <f>_xlfn.XLOOKUP(Table126163169[[#This Row],[ACA Number]],Table121158164[ACA Number],Table121158164[Best 1 run SL race])</f>
        <v>8.68</v>
      </c>
      <c r="AZ6">
        <f>_xlfn.XLOOKUP(Table126163169[[#This Row],[ACA Number]],Table123160166[ACA Number],Table123160166[Best 1 Run])</f>
        <v>0</v>
      </c>
      <c r="BA6">
        <f>_xlfn.XLOOKUP(Table126163169[[#This Row],[ACA Number]],Table122159165[ACA Number],Table122159165[Best 1 run GS Race])</f>
        <v>69.150000000000006</v>
      </c>
      <c r="BB6">
        <f>_xlfn.XLOOKUP(Table126163169[[#This Row],[ACA Number]],Table124161167[ACA Number],Table124161167[Best result],)</f>
        <v>34.19</v>
      </c>
      <c r="BC6">
        <f>_xlfn.XLOOKUP(Table126163169[[#This Row],[ACA Number]],Table124161167[ACA Number],Table124161167[2nd Best Result])</f>
        <v>36.520000000000003</v>
      </c>
      <c r="BD6">
        <f>_xlfn.XLOOKUP(Table126163169[[#This Row],[ACA Number]],Table125162168[ACA Number],Table125162168[Best result])</f>
        <v>0</v>
      </c>
      <c r="BE6">
        <f>_xlfn.XLOOKUP(Table126163169[[#This Row],[ACA Number]],Table125162168[ACA Number],Table125162168[2nd Best Result])</f>
        <v>999.99</v>
      </c>
      <c r="BF6">
        <f t="shared" si="0"/>
        <v>1148.53</v>
      </c>
      <c r="BG6">
        <f>_xlfn.RANK.EQ(Table126163169[[#This Row],[Total Points]],Table126163169[Total Points],1)</f>
        <v>4</v>
      </c>
    </row>
    <row r="7" spans="1:59" x14ac:dyDescent="0.3">
      <c r="A7">
        <v>86727</v>
      </c>
      <c r="B7" t="s">
        <v>715</v>
      </c>
      <c r="C7" t="s">
        <v>716</v>
      </c>
      <c r="D7" t="e">
        <f>_xlfn.XLOOKUP(Table121158164[[#This Row],[ACA Number]],Table1221[NAT Number],Table1221[run 1 points])</f>
        <v>#N/A</v>
      </c>
      <c r="E7" t="e">
        <f>_xlfn.XLOOKUP(Table121158164[[#This Row],[ACA Number]],Table1221[NAT Number],Table1221[run 2 points])</f>
        <v>#N/A</v>
      </c>
      <c r="F7" t="e">
        <f>_xlfn.XLOOKUP(Table121158164[[#This Row],[ACA Number]],Table122128[NAT Number],Table122128[run 1 points])</f>
        <v>#N/A</v>
      </c>
      <c r="G7" t="e">
        <f>_xlfn.XLOOKUP(Table121158164[[#This Row],[ACA Number]],Table122128[NAT Number],Table122128[run 2 points])</f>
        <v>#N/A</v>
      </c>
      <c r="H7" t="e">
        <f>_xlfn.XLOOKUP(Table121158164[[#This Row],[ACA Number]],Table122110193446587082[NAT Number],Table122110193446587082[run 1 points])</f>
        <v>#N/A</v>
      </c>
      <c r="I7" t="e">
        <f>_xlfn.XLOOKUP(Table121158164[[#This Row],[ACA Number]],Table122110193446587082[NAT Number],Table122110193446587082[run 2 points])</f>
        <v>#N/A</v>
      </c>
      <c r="J7" cm="1">
        <f t="array" ref="J7">_xlfn.LET(_xlpm.r,Table121158164[[#This Row],[PM SL1 R1]:[MF SL1 R2]],_xlpm.m,_xlfn.AGGREGATE(15,6,_xlpm.r/(_xlpm.r&lt;&gt;999.99),1),IFERROR(_xlpm.m,999.99))</f>
        <v>999.99</v>
      </c>
      <c r="L7">
        <v>86727</v>
      </c>
      <c r="M7" t="s">
        <v>715</v>
      </c>
      <c r="N7" t="s">
        <v>716</v>
      </c>
      <c r="O7" t="e">
        <f>_xlfn.XLOOKUP(Table122159165[[#This Row],[ACA Number]],Table1271631[NAT Number],Table1271631[run 1 points])</f>
        <v>#N/A</v>
      </c>
      <c r="P7" t="e">
        <f>_xlfn.XLOOKUP(Table122159165[[#This Row],[ACA Number]],Table1221101934[NAT Number],Table1221101934[run 1 points])</f>
        <v>#N/A</v>
      </c>
      <c r="Q7" cm="1">
        <f t="array" ref="Q7">_xlfn.LET(_xlpm.r,Table122159165[[#This Row],[CM SG R1]:[CM SG R2]],_xlpm.m,_xlfn.AGGREGATE(15,6,_xlpm.r/(_xlpm.r&lt;&gt;999.99),1),IFERROR(_xlpm.m,999.99))</f>
        <v>999.99</v>
      </c>
      <c r="S7">
        <v>86727</v>
      </c>
      <c r="T7" t="s">
        <v>715</v>
      </c>
      <c r="U7" t="s">
        <v>716</v>
      </c>
      <c r="V7" t="e">
        <f>_xlfn.XLOOKUP(Table123160166[[#This Row],[ACA Number]],Table1221101934465870100106[NAT Number],Table1221101934465870100106[run 1 points])</f>
        <v>#N/A</v>
      </c>
      <c r="W7" t="e">
        <f>_xlfn.XLOOKUP(Table123160166[[#This Row],[ACA Number]],Table1221101934465870100106[NAT Number],Table1221101934465870100106[run 2 points])</f>
        <v>#N/A</v>
      </c>
      <c r="X7" t="e">
        <f>_xlfn.XLOOKUP(Table123160166[[#This Row],[ACA Number]],Table1221101934465870100[NAT Number],Table1221101934465870100[run 1 points])</f>
        <v>#N/A</v>
      </c>
      <c r="Y7" t="e">
        <f>_xlfn.XLOOKUP(Table123160166[[#This Row],[ACA Number]],Table1221101934465870100[NAT Number],Table1221101934465870100[run 2 points])</f>
        <v>#N/A</v>
      </c>
      <c r="Z7" t="e">
        <f>_xlfn.XLOOKUP(Table123160166[[#This Row],[ACA Number]],Table1221101934465870[NAT Number],Table1221101934465870[run 1 points])</f>
        <v>#N/A</v>
      </c>
      <c r="AA7" t="e">
        <f>_xlfn.XLOOKUP(Table123160166[[#This Row],[ACA Number]],Table1221101934465870[NAT Number],Table1221101934465870[run 2 points])</f>
        <v>#N/A</v>
      </c>
      <c r="AB7" cm="1">
        <f t="array" ref="AB7">_xlfn.LET(_xlpm.r,Table123160166[[#This Row],[CM GS1 R1]:[MF GS R2]],_xlpm.m,_xlfn.AGGREGATE(15,6,_xlpm.r/(_xlpm.r&lt;&gt;999.99),1),IFERROR(_xlpm.m,999.99))</f>
        <v>999.99</v>
      </c>
      <c r="AD7">
        <v>86727</v>
      </c>
      <c r="AE7" t="s">
        <v>715</v>
      </c>
      <c r="AF7" t="s">
        <v>716</v>
      </c>
      <c r="AG7" t="e">
        <f>_xlfn.XLOOKUP(Table124161167[[#This Row],[ACA Number]],Table1221[NAT Number],Table1221[TT race points])</f>
        <v>#N/A</v>
      </c>
      <c r="AH7" t="e">
        <f>_xlfn.XLOOKUP(Table124161167[[#This Row],[ACA Number]],Table122128[NAT Number],Table122128[TT race points])</f>
        <v>#N/A</v>
      </c>
      <c r="AI7" t="e">
        <f>_xlfn.XLOOKUP(Table124161167[[#This Row],[ACA Number]],Table122110193446587082[NAT Number],Table122110193446587082[TT race points])</f>
        <v>#N/A</v>
      </c>
      <c r="AJ7" cm="1">
        <f t="array" ref="AJ7">_xlfn.LET(_xlpm.r,Table124161167[[#This Row],[PM SL1]:[MF SL]],_xlpm.m,_xlfn.AGGREGATE(15,6,_xlpm.r/(_xlpm.r&lt;&gt;999.99),1),IFERROR(_xlpm.m,999.99))</f>
        <v>999.99</v>
      </c>
      <c r="AK7" cm="1">
        <f t="array" ref="AK7">_xlfn.LET(_xlpm.r,Table124161167[[#This Row],[PM SL1]:[MF SL]],_xlpm.m,_xlfn.AGGREGATE(15,6,_xlpm.r/(_xlpm.r&lt;&gt;999.99),2),IFERROR(_xlpm.m,999.99))</f>
        <v>999.99</v>
      </c>
      <c r="AM7">
        <v>86727</v>
      </c>
      <c r="AN7" t="s">
        <v>715</v>
      </c>
      <c r="AO7" t="s">
        <v>716</v>
      </c>
      <c r="AP7" t="e">
        <f>_xlfn.XLOOKUP(Table125162168[[#This Row],[ACA Number]],Table1221101934465870100106[NAT Number],Table1221101934465870100106[TT race points])</f>
        <v>#N/A</v>
      </c>
      <c r="AQ7" t="e">
        <f>_xlfn.XLOOKUP(Table125162168[[#This Row],[ACA Number]],Table1221101934465870100[NAT Number],Table1221101934465870100[TT race points])</f>
        <v>#N/A</v>
      </c>
      <c r="AR7" t="e">
        <f>_xlfn.XLOOKUP(Table125162168[[#This Row],[ACA Number]],Table1221101934465870[NAT Number],Table1221101934465870[TT race points])</f>
        <v>#N/A</v>
      </c>
      <c r="AS7" cm="1">
        <f t="array" ref="AS7">_xlfn.LET(_xlpm.r,Table125162168[[#This Row],[CM GS1]:[MF GS]],_xlpm.m,_xlfn.AGGREGATE(15,6,_xlpm.r/(_xlpm.r&lt;&gt;999.99),1),IFERROR(_xlpm.m,999.99))</f>
        <v>999.99</v>
      </c>
      <c r="AT7" cm="1">
        <f t="array" ref="AT7">_xlfn.LET(_xlpm.r,Table125162168[[#This Row],[CM GS1]:[MF GS]],_xlpm.m,_xlfn.AGGREGATE(15,6,_xlpm.r/(_xlpm.r&lt;&gt;999.99),2),IFERROR(_xlpm.m,999.99))</f>
        <v>999.99</v>
      </c>
      <c r="AV7">
        <v>92167</v>
      </c>
      <c r="AW7" t="s">
        <v>722</v>
      </c>
      <c r="AX7" t="s">
        <v>716</v>
      </c>
      <c r="AY7">
        <f>_xlfn.XLOOKUP(Table126163169[[#This Row],[ACA Number]],Table121158164[ACA Number],Table121158164[Best 1 run SL race])</f>
        <v>215.55</v>
      </c>
      <c r="AZ7">
        <f>_xlfn.XLOOKUP(Table126163169[[#This Row],[ACA Number]],Table123160166[ACA Number],Table123160166[Best 1 Run])</f>
        <v>62.18</v>
      </c>
      <c r="BA7">
        <f>_xlfn.XLOOKUP(Table126163169[[#This Row],[ACA Number]],Table122159165[ACA Number],Table122159165[Best 1 run GS Race])</f>
        <v>343.67</v>
      </c>
      <c r="BB7">
        <f>_xlfn.XLOOKUP(Table126163169[[#This Row],[ACA Number]],Table124161167[ACA Number],Table124161167[Best result],)</f>
        <v>203.14</v>
      </c>
      <c r="BC7">
        <f>_xlfn.XLOOKUP(Table126163169[[#This Row],[ACA Number]],Table124161167[ACA Number],Table124161167[2nd Best Result])</f>
        <v>252.8</v>
      </c>
      <c r="BD7">
        <f>_xlfn.XLOOKUP(Table126163169[[#This Row],[ACA Number]],Table125162168[ACA Number],Table125162168[Best result])</f>
        <v>67.66</v>
      </c>
      <c r="BE7">
        <f>_xlfn.XLOOKUP(Table126163169[[#This Row],[ACA Number]],Table125162168[ACA Number],Table125162168[2nd Best Result])</f>
        <v>121.72</v>
      </c>
      <c r="BF7">
        <f t="shared" si="0"/>
        <v>1266.7200000000003</v>
      </c>
      <c r="BG7">
        <f>_xlfn.RANK.EQ(Table126163169[[#This Row],[Total Points]],Table126163169[Total Points],1)</f>
        <v>5</v>
      </c>
    </row>
    <row r="8" spans="1:59" x14ac:dyDescent="0.3">
      <c r="A8">
        <v>104647</v>
      </c>
      <c r="B8" t="s">
        <v>717</v>
      </c>
      <c r="C8" t="s">
        <v>716</v>
      </c>
      <c r="D8">
        <f>_xlfn.XLOOKUP(Table121158164[[#This Row],[ACA Number]],Table1221[NAT Number],Table1221[run 1 points])</f>
        <v>84.99</v>
      </c>
      <c r="E8">
        <f>_xlfn.XLOOKUP(Table121158164[[#This Row],[ACA Number]],Table1221[NAT Number],Table1221[run 2 points])</f>
        <v>103.34</v>
      </c>
      <c r="F8">
        <f>_xlfn.XLOOKUP(Table121158164[[#This Row],[ACA Number]],Table122128[NAT Number],Table122128[run 1 points])</f>
        <v>93.98</v>
      </c>
      <c r="G8">
        <f>_xlfn.XLOOKUP(Table121158164[[#This Row],[ACA Number]],Table122128[NAT Number],Table122128[run 2 points])</f>
        <v>97.66</v>
      </c>
      <c r="H8">
        <f>_xlfn.XLOOKUP(Table121158164[[#This Row],[ACA Number]],Table122110193446587082[NAT Number],Table122110193446587082[run 1 points])</f>
        <v>96.79</v>
      </c>
      <c r="I8">
        <f>_xlfn.XLOOKUP(Table121158164[[#This Row],[ACA Number]],Table122110193446587082[NAT Number],Table122110193446587082[run 2 points])</f>
        <v>106.12</v>
      </c>
      <c r="J8" cm="1">
        <f t="array" ref="J8">_xlfn.LET(_xlpm.r,Table121158164[[#This Row],[PM SL1 R1]:[MF SL1 R2]],_xlpm.m,_xlfn.AGGREGATE(15,6,_xlpm.r/(_xlpm.r&lt;&gt;999.99),1),IFERROR(_xlpm.m,999.99))</f>
        <v>84.99</v>
      </c>
      <c r="L8">
        <v>104647</v>
      </c>
      <c r="M8" t="s">
        <v>717</v>
      </c>
      <c r="N8" t="s">
        <v>716</v>
      </c>
      <c r="O8">
        <f>_xlfn.XLOOKUP(Table122159165[[#This Row],[ACA Number]],Table1271631[NAT Number],Table1271631[run 1 points])</f>
        <v>170.43</v>
      </c>
      <c r="P8">
        <f>_xlfn.XLOOKUP(Table122159165[[#This Row],[ACA Number]],Table1221101934[NAT Number],Table1221101934[run 1 points])</f>
        <v>161.52000000000001</v>
      </c>
      <c r="Q8" cm="1">
        <f t="array" ref="Q8">_xlfn.LET(_xlpm.r,Table122159165[[#This Row],[CM SG R1]:[CM SG R2]],_xlpm.m,_xlfn.AGGREGATE(15,6,_xlpm.r/(_xlpm.r&lt;&gt;999.99),1),IFERROR(_xlpm.m,999.99))</f>
        <v>161.52000000000001</v>
      </c>
      <c r="S8">
        <v>104647</v>
      </c>
      <c r="T8" t="s">
        <v>717</v>
      </c>
      <c r="U8" t="s">
        <v>716</v>
      </c>
      <c r="V8">
        <f>_xlfn.XLOOKUP(Table123160166[[#This Row],[ACA Number]],Table1221101934465870100106[NAT Number],Table1221101934465870100106[run 1 points])</f>
        <v>82.24</v>
      </c>
      <c r="W8">
        <f>_xlfn.XLOOKUP(Table123160166[[#This Row],[ACA Number]],Table1221101934465870100106[NAT Number],Table1221101934465870100106[run 2 points])</f>
        <v>65.239999999999995</v>
      </c>
      <c r="X8">
        <f>_xlfn.XLOOKUP(Table123160166[[#This Row],[ACA Number]],Table1221101934465870100[NAT Number],Table1221101934465870100[run 1 points])</f>
        <v>66.400000000000006</v>
      </c>
      <c r="Y8">
        <f>_xlfn.XLOOKUP(Table123160166[[#This Row],[ACA Number]],Table1221101934465870100[NAT Number],Table1221101934465870100[run 2 points])</f>
        <v>96.35</v>
      </c>
      <c r="Z8">
        <f>_xlfn.XLOOKUP(Table123160166[[#This Row],[ACA Number]],Table1221101934465870[NAT Number],Table1221101934465870[run 1 points])</f>
        <v>14.22</v>
      </c>
      <c r="AA8">
        <f>_xlfn.XLOOKUP(Table123160166[[#This Row],[ACA Number]],Table1221101934465870[NAT Number],Table1221101934465870[run 2 points])</f>
        <v>12.14</v>
      </c>
      <c r="AB8" cm="1">
        <f t="array" ref="AB8">_xlfn.LET(_xlpm.r,Table123160166[[#This Row],[CM GS1 R1]:[MF GS R2]],_xlpm.m,_xlfn.AGGREGATE(15,6,_xlpm.r/(_xlpm.r&lt;&gt;999.99),1),IFERROR(_xlpm.m,999.99))</f>
        <v>12.14</v>
      </c>
      <c r="AD8">
        <v>104647</v>
      </c>
      <c r="AE8" t="s">
        <v>717</v>
      </c>
      <c r="AF8" t="s">
        <v>716</v>
      </c>
      <c r="AG8">
        <f>_xlfn.XLOOKUP(Table124161167[[#This Row],[ACA Number]],Table1221[NAT Number],Table1221[TT race points])</f>
        <v>93.98</v>
      </c>
      <c r="AH8">
        <f>_xlfn.XLOOKUP(Table124161167[[#This Row],[ACA Number]],Table122128[NAT Number],Table122128[TT race points])</f>
        <v>91.95</v>
      </c>
      <c r="AI8">
        <f>_xlfn.XLOOKUP(Table124161167[[#This Row],[ACA Number]],Table122110193446587082[NAT Number],Table122110193446587082[TT race points])</f>
        <v>82.54</v>
      </c>
      <c r="AJ8" cm="1">
        <f t="array" ref="AJ8">_xlfn.LET(_xlpm.r,Table124161167[[#This Row],[PM SL1]:[MF SL]],_xlpm.m,_xlfn.AGGREGATE(15,6,_xlpm.r/(_xlpm.r&lt;&gt;999.99),1),IFERROR(_xlpm.m,999.99))</f>
        <v>82.54</v>
      </c>
      <c r="AK8" cm="1">
        <f t="array" ref="AK8">_xlfn.LET(_xlpm.r,Table124161167[[#This Row],[PM SL1]:[MF SL]],_xlpm.m,_xlfn.AGGREGATE(15,6,_xlpm.r/(_xlpm.r&lt;&gt;999.99),2),IFERROR(_xlpm.m,999.99))</f>
        <v>91.95</v>
      </c>
      <c r="AM8">
        <v>104647</v>
      </c>
      <c r="AN8" t="s">
        <v>717</v>
      </c>
      <c r="AO8" t="s">
        <v>716</v>
      </c>
      <c r="AP8">
        <f>_xlfn.XLOOKUP(Table125162168[[#This Row],[ACA Number]],Table1221101934465870100106[NAT Number],Table1221101934465870100106[TT race points])</f>
        <v>73.44</v>
      </c>
      <c r="AQ8">
        <f>_xlfn.XLOOKUP(Table125162168[[#This Row],[ACA Number]],Table1221101934465870100[NAT Number],Table1221101934465870100[TT race points])</f>
        <v>81.099999999999994</v>
      </c>
      <c r="AR8">
        <f>_xlfn.XLOOKUP(Table125162168[[#This Row],[ACA Number]],Table1221101934465870[NAT Number],Table1221101934465870[TT race points])</f>
        <v>5.94</v>
      </c>
      <c r="AS8" cm="1">
        <f t="array" ref="AS8">_xlfn.LET(_xlpm.r,Table125162168[[#This Row],[CM GS1]:[MF GS]],_xlpm.m,_xlfn.AGGREGATE(15,6,_xlpm.r/(_xlpm.r&lt;&gt;999.99),1),IFERROR(_xlpm.m,999.99))</f>
        <v>5.94</v>
      </c>
      <c r="AT8" cm="1">
        <f t="array" ref="AT8">_xlfn.LET(_xlpm.r,Table125162168[[#This Row],[CM GS1]:[MF GS]],_xlpm.m,_xlfn.AGGREGATE(15,6,_xlpm.r/(_xlpm.r&lt;&gt;999.99),2),IFERROR(_xlpm.m,999.99))</f>
        <v>73.44</v>
      </c>
      <c r="AV8">
        <v>89072</v>
      </c>
      <c r="AW8" t="s">
        <v>928</v>
      </c>
      <c r="AX8" t="s">
        <v>716</v>
      </c>
      <c r="AY8">
        <f>_xlfn.XLOOKUP(Table126163169[[#This Row],[ACA Number]],Table121158164[ACA Number],Table121158164[Best 1 run SL race])</f>
        <v>189.86</v>
      </c>
      <c r="AZ8">
        <f>_xlfn.XLOOKUP(Table126163169[[#This Row],[ACA Number]],Table123160166[ACA Number],Table123160166[Best 1 Run])</f>
        <v>82.16</v>
      </c>
      <c r="BA8">
        <f>_xlfn.XLOOKUP(Table126163169[[#This Row],[ACA Number]],Table122159165[ACA Number],Table122159165[Best 1 run GS Race])</f>
        <v>339.23</v>
      </c>
      <c r="BB8">
        <f>_xlfn.XLOOKUP(Table126163169[[#This Row],[ACA Number]],Table124161167[ACA Number],Table124161167[Best result],)</f>
        <v>224.25</v>
      </c>
      <c r="BC8">
        <f>_xlfn.XLOOKUP(Table126163169[[#This Row],[ACA Number]],Table124161167[ACA Number],Table124161167[2nd Best Result])</f>
        <v>259.64999999999998</v>
      </c>
      <c r="BD8">
        <f>_xlfn.XLOOKUP(Table126163169[[#This Row],[ACA Number]],Table125162168[ACA Number],Table125162168[Best result])</f>
        <v>75.650000000000006</v>
      </c>
      <c r="BE8">
        <f>_xlfn.XLOOKUP(Table126163169[[#This Row],[ACA Number]],Table125162168[ACA Number],Table125162168[2nd Best Result])</f>
        <v>156.6</v>
      </c>
      <c r="BF8">
        <f t="shared" si="0"/>
        <v>1327.4</v>
      </c>
      <c r="BG8">
        <f>_xlfn.RANK.EQ(Table126163169[[#This Row],[Total Points]],Table126163169[Total Points],1)</f>
        <v>6</v>
      </c>
    </row>
    <row r="9" spans="1:59" x14ac:dyDescent="0.3">
      <c r="A9">
        <v>89072</v>
      </c>
      <c r="B9" t="s">
        <v>928</v>
      </c>
      <c r="C9" t="s">
        <v>716</v>
      </c>
      <c r="D9">
        <f>_xlfn.XLOOKUP(Table121158164[[#This Row],[ACA Number]],Table1221[NAT Number],Table1221[run 1 points])</f>
        <v>247.79</v>
      </c>
      <c r="E9">
        <f>_xlfn.XLOOKUP(Table121158164[[#This Row],[ACA Number]],Table1221[NAT Number],Table1221[run 2 points])</f>
        <v>271.99</v>
      </c>
      <c r="F9">
        <f>_xlfn.XLOOKUP(Table121158164[[#This Row],[ACA Number]],Table122128[NAT Number],Table122128[run 1 points])</f>
        <v>189.86</v>
      </c>
      <c r="G9">
        <f>_xlfn.XLOOKUP(Table121158164[[#This Row],[ACA Number]],Table122128[NAT Number],Table122128[run 2 points])</f>
        <v>272.63</v>
      </c>
      <c r="H9">
        <f>_xlfn.XLOOKUP(Table121158164[[#This Row],[ACA Number]],Table122110193446587082[NAT Number],Table122110193446587082[run 1 points])</f>
        <v>999.99</v>
      </c>
      <c r="I9">
        <f>_xlfn.XLOOKUP(Table121158164[[#This Row],[ACA Number]],Table122110193446587082[NAT Number],Table122110193446587082[run 2 points])</f>
        <v>239.34</v>
      </c>
      <c r="J9" cm="1">
        <f t="array" ref="J9">_xlfn.LET(_xlpm.r,Table121158164[[#This Row],[PM SL1 R1]:[MF SL1 R2]],_xlpm.m,_xlfn.AGGREGATE(15,6,_xlpm.r/(_xlpm.r&lt;&gt;999.99),1),IFERROR(_xlpm.m,999.99))</f>
        <v>189.86</v>
      </c>
      <c r="L9">
        <v>89072</v>
      </c>
      <c r="M9" t="s">
        <v>928</v>
      </c>
      <c r="N9" t="s">
        <v>716</v>
      </c>
      <c r="O9">
        <f>_xlfn.XLOOKUP(Table122159165[[#This Row],[ACA Number]],Table1271631[NAT Number],Table1271631[run 1 points])</f>
        <v>339.23</v>
      </c>
      <c r="P9">
        <f>_xlfn.XLOOKUP(Table122159165[[#This Row],[ACA Number]],Table1221101934[NAT Number],Table1221101934[run 1 points])</f>
        <v>345.53</v>
      </c>
      <c r="Q9" cm="1">
        <f t="array" ref="Q9">_xlfn.LET(_xlpm.r,Table122159165[[#This Row],[CM SG R1]:[CM SG R2]],_xlpm.m,_xlfn.AGGREGATE(15,6,_xlpm.r/(_xlpm.r&lt;&gt;999.99),1),IFERROR(_xlpm.m,999.99))</f>
        <v>339.23</v>
      </c>
      <c r="S9">
        <v>89072</v>
      </c>
      <c r="T9" t="s">
        <v>928</v>
      </c>
      <c r="U9" t="s">
        <v>716</v>
      </c>
      <c r="V9">
        <f>_xlfn.XLOOKUP(Table123160166[[#This Row],[ACA Number]],Table1221101934465870100106[NAT Number],Table1221101934465870100106[run 1 points])</f>
        <v>183.77</v>
      </c>
      <c r="W9">
        <f>_xlfn.XLOOKUP(Table123160166[[#This Row],[ACA Number]],Table1221101934465870100106[NAT Number],Table1221101934465870100106[run 2 points])</f>
        <v>180.27</v>
      </c>
      <c r="X9">
        <f>_xlfn.XLOOKUP(Table123160166[[#This Row],[ACA Number]],Table1221101934465870100[NAT Number],Table1221101934465870100[run 1 points])</f>
        <v>148.85</v>
      </c>
      <c r="Y9">
        <f>_xlfn.XLOOKUP(Table123160166[[#This Row],[ACA Number]],Table1221101934465870100[NAT Number],Table1221101934465870100[run 2 points])</f>
        <v>164.99</v>
      </c>
      <c r="Z9">
        <f>_xlfn.XLOOKUP(Table123160166[[#This Row],[ACA Number]],Table1221101934465870[NAT Number],Table1221101934465870[run 1 points])</f>
        <v>85.02</v>
      </c>
      <c r="AA9">
        <f>_xlfn.XLOOKUP(Table123160166[[#This Row],[ACA Number]],Table1221101934465870[NAT Number],Table1221101934465870[run 2 points])</f>
        <v>82.16</v>
      </c>
      <c r="AB9" cm="1">
        <f t="array" ref="AB9">_xlfn.LET(_xlpm.r,Table123160166[[#This Row],[CM GS1 R1]:[MF GS R2]],_xlpm.m,_xlfn.AGGREGATE(15,6,_xlpm.r/(_xlpm.r&lt;&gt;999.99),1),IFERROR(_xlpm.m,999.99))</f>
        <v>82.16</v>
      </c>
      <c r="AD9">
        <v>89072</v>
      </c>
      <c r="AE9" t="s">
        <v>928</v>
      </c>
      <c r="AF9" t="s">
        <v>716</v>
      </c>
      <c r="AG9">
        <f>_xlfn.XLOOKUP(Table124161167[[#This Row],[ACA Number]],Table1221[NAT Number],Table1221[TT race points])</f>
        <v>259.64999999999998</v>
      </c>
      <c r="AH9">
        <f>_xlfn.XLOOKUP(Table124161167[[#This Row],[ACA Number]],Table122128[NAT Number],Table122128[TT race points])</f>
        <v>224.25</v>
      </c>
      <c r="AI9">
        <f>_xlfn.XLOOKUP(Table124161167[[#This Row],[ACA Number]],Table122110193446587082[NAT Number],Table122110193446587082[TT race points])</f>
        <v>999.99</v>
      </c>
      <c r="AJ9" cm="1">
        <f t="array" ref="AJ9">_xlfn.LET(_xlpm.r,Table124161167[[#This Row],[PM SL1]:[MF SL]],_xlpm.m,_xlfn.AGGREGATE(15,6,_xlpm.r/(_xlpm.r&lt;&gt;999.99),1),IFERROR(_xlpm.m,999.99))</f>
        <v>224.25</v>
      </c>
      <c r="AK9" cm="1">
        <f t="array" ref="AK9">_xlfn.LET(_xlpm.r,Table124161167[[#This Row],[PM SL1]:[MF SL]],_xlpm.m,_xlfn.AGGREGATE(15,6,_xlpm.r/(_xlpm.r&lt;&gt;999.99),2),IFERROR(_xlpm.m,999.99))</f>
        <v>259.64999999999998</v>
      </c>
      <c r="AM9">
        <v>89072</v>
      </c>
      <c r="AN9" t="s">
        <v>928</v>
      </c>
      <c r="AO9" t="s">
        <v>716</v>
      </c>
      <c r="AP9">
        <f>_xlfn.XLOOKUP(Table125162168[[#This Row],[ACA Number]],Table1221101934465870100106[NAT Number],Table1221101934465870100106[TT race points])</f>
        <v>181.96</v>
      </c>
      <c r="AQ9">
        <f>_xlfn.XLOOKUP(Table125162168[[#This Row],[ACA Number]],Table1221101934465870100[NAT Number],Table1221101934465870100[TT race points])</f>
        <v>156.6</v>
      </c>
      <c r="AR9">
        <f>_xlfn.XLOOKUP(Table125162168[[#This Row],[ACA Number]],Table1221101934465870[NAT Number],Table1221101934465870[TT race points])</f>
        <v>75.650000000000006</v>
      </c>
      <c r="AS9" cm="1">
        <f t="array" ref="AS9">_xlfn.LET(_xlpm.r,Table125162168[[#This Row],[CM GS1]:[MF GS]],_xlpm.m,_xlfn.AGGREGATE(15,6,_xlpm.r/(_xlpm.r&lt;&gt;999.99),1),IFERROR(_xlpm.m,999.99))</f>
        <v>75.650000000000006</v>
      </c>
      <c r="AT9" cm="1">
        <f t="array" ref="AT9">_xlfn.LET(_xlpm.r,Table125162168[[#This Row],[CM GS1]:[MF GS]],_xlpm.m,_xlfn.AGGREGATE(15,6,_xlpm.r/(_xlpm.r&lt;&gt;999.99),2),IFERROR(_xlpm.m,999.99))</f>
        <v>156.6</v>
      </c>
      <c r="AV9">
        <v>88934</v>
      </c>
      <c r="AW9" t="s">
        <v>930</v>
      </c>
      <c r="AX9" t="s">
        <v>716</v>
      </c>
      <c r="AY9">
        <f>_xlfn.XLOOKUP(Table126163169[[#This Row],[ACA Number]],Table121158164[ACA Number],Table121158164[Best 1 run SL race])</f>
        <v>133.08000000000001</v>
      </c>
      <c r="AZ9">
        <f>_xlfn.XLOOKUP(Table126163169[[#This Row],[ACA Number]],Table123160166[ACA Number],Table123160166[Best 1 Run])</f>
        <v>62.17</v>
      </c>
      <c r="BA9">
        <f>_xlfn.XLOOKUP(Table126163169[[#This Row],[ACA Number]],Table122159165[ACA Number],Table122159165[Best 1 run GS Race])</f>
        <v>238</v>
      </c>
      <c r="BB9">
        <f>_xlfn.XLOOKUP(Table126163169[[#This Row],[ACA Number]],Table124161167[ACA Number],Table124161167[Best result],)</f>
        <v>130.88999999999999</v>
      </c>
      <c r="BC9">
        <f>_xlfn.XLOOKUP(Table126163169[[#This Row],[ACA Number]],Table124161167[ACA Number],Table124161167[2nd Best Result])</f>
        <v>203.66</v>
      </c>
      <c r="BD9">
        <f>_xlfn.XLOOKUP(Table126163169[[#This Row],[ACA Number]],Table125162168[ACA Number],Table125162168[Best result])</f>
        <v>164.19</v>
      </c>
      <c r="BE9">
        <f>_xlfn.XLOOKUP(Table126163169[[#This Row],[ACA Number]],Table125162168[ACA Number],Table125162168[2nd Best Result])</f>
        <v>999.99</v>
      </c>
      <c r="BF9">
        <f t="shared" si="0"/>
        <v>1931.98</v>
      </c>
      <c r="BG9">
        <f>_xlfn.RANK.EQ(Table126163169[[#This Row],[Total Points]],Table126163169[Total Points],1)</f>
        <v>7</v>
      </c>
    </row>
    <row r="10" spans="1:59" x14ac:dyDescent="0.3">
      <c r="A10">
        <v>121115</v>
      </c>
      <c r="B10" t="s">
        <v>929</v>
      </c>
      <c r="C10" t="s">
        <v>716</v>
      </c>
      <c r="D10">
        <f>_xlfn.XLOOKUP(Table121158164[[#This Row],[ACA Number]],Table1221[NAT Number],Table1221[run 1 points])</f>
        <v>316.75</v>
      </c>
      <c r="E10">
        <f>_xlfn.XLOOKUP(Table121158164[[#This Row],[ACA Number]],Table1221[NAT Number],Table1221[run 2 points])</f>
        <v>478.16</v>
      </c>
      <c r="F10">
        <f>_xlfn.XLOOKUP(Table121158164[[#This Row],[ACA Number]],Table122128[NAT Number],Table122128[run 1 points])</f>
        <v>357.13</v>
      </c>
      <c r="G10">
        <f>_xlfn.XLOOKUP(Table121158164[[#This Row],[ACA Number]],Table122128[NAT Number],Table122128[run 2 points])</f>
        <v>380.56</v>
      </c>
      <c r="H10">
        <f>_xlfn.XLOOKUP(Table121158164[[#This Row],[ACA Number]],Table122110193446587082[NAT Number],Table122110193446587082[run 1 points])</f>
        <v>287.24</v>
      </c>
      <c r="I10">
        <f>_xlfn.XLOOKUP(Table121158164[[#This Row],[ACA Number]],Table122110193446587082[NAT Number],Table122110193446587082[run 2 points])</f>
        <v>270.63</v>
      </c>
      <c r="J10" cm="1">
        <f t="array" ref="J10">_xlfn.LET(_xlpm.r,Table121158164[[#This Row],[PM SL1 R1]:[MF SL1 R2]],_xlpm.m,_xlfn.AGGREGATE(15,6,_xlpm.r/(_xlpm.r&lt;&gt;999.99),1),IFERROR(_xlpm.m,999.99))</f>
        <v>270.63</v>
      </c>
      <c r="L10">
        <v>121115</v>
      </c>
      <c r="M10" t="s">
        <v>929</v>
      </c>
      <c r="N10" t="s">
        <v>716</v>
      </c>
      <c r="O10" t="e">
        <f>_xlfn.XLOOKUP(Table122159165[[#This Row],[ACA Number]],Table1271631[NAT Number],Table1271631[run 1 points])</f>
        <v>#N/A</v>
      </c>
      <c r="P10" t="e">
        <f>_xlfn.XLOOKUP(Table122159165[[#This Row],[ACA Number]],Table1221101934[NAT Number],Table1221101934[run 1 points])</f>
        <v>#N/A</v>
      </c>
      <c r="Q10" cm="1">
        <f t="array" ref="Q10">_xlfn.LET(_xlpm.r,Table122159165[[#This Row],[CM SG R1]:[CM SG R2]],_xlpm.m,_xlfn.AGGREGATE(15,6,_xlpm.r/(_xlpm.r&lt;&gt;999.99),1),IFERROR(_xlpm.m,999.99))</f>
        <v>999.99</v>
      </c>
      <c r="S10">
        <v>121115</v>
      </c>
      <c r="T10" t="s">
        <v>929</v>
      </c>
      <c r="U10" t="s">
        <v>716</v>
      </c>
      <c r="V10">
        <f>_xlfn.XLOOKUP(Table123160166[[#This Row],[ACA Number]],Table1221101934465870100106[NAT Number],Table1221101934465870100106[run 1 points])</f>
        <v>230.43</v>
      </c>
      <c r="W10">
        <f>_xlfn.XLOOKUP(Table123160166[[#This Row],[ACA Number]],Table1221101934465870100106[NAT Number],Table1221101934465870100106[run 2 points])</f>
        <v>999.99</v>
      </c>
      <c r="X10">
        <f>_xlfn.XLOOKUP(Table123160166[[#This Row],[ACA Number]],Table1221101934465870100[NAT Number],Table1221101934465870100[run 1 points])</f>
        <v>246.65</v>
      </c>
      <c r="Y10">
        <f>_xlfn.XLOOKUP(Table123160166[[#This Row],[ACA Number]],Table1221101934465870100[NAT Number],Table1221101934465870100[run 2 points])</f>
        <v>265.2</v>
      </c>
      <c r="Z10">
        <f>_xlfn.XLOOKUP(Table123160166[[#This Row],[ACA Number]],Table1221101934465870[NAT Number],Table1221101934465870[run 1 points])</f>
        <v>130.72</v>
      </c>
      <c r="AA10">
        <f>_xlfn.XLOOKUP(Table123160166[[#This Row],[ACA Number]],Table1221101934465870[NAT Number],Table1221101934465870[run 2 points])</f>
        <v>128.35</v>
      </c>
      <c r="AB10" cm="1">
        <f t="array" ref="AB10">_xlfn.LET(_xlpm.r,Table123160166[[#This Row],[CM GS1 R1]:[MF GS R2]],_xlpm.m,_xlfn.AGGREGATE(15,6,_xlpm.r/(_xlpm.r&lt;&gt;999.99),1),IFERROR(_xlpm.m,999.99))</f>
        <v>128.35</v>
      </c>
      <c r="AD10">
        <v>121115</v>
      </c>
      <c r="AE10" t="s">
        <v>929</v>
      </c>
      <c r="AF10" t="s">
        <v>716</v>
      </c>
      <c r="AG10">
        <f>_xlfn.XLOOKUP(Table124161167[[#This Row],[ACA Number]],Table1221[NAT Number],Table1221[TT race points])</f>
        <v>395.86</v>
      </c>
      <c r="AH10">
        <f>_xlfn.XLOOKUP(Table124161167[[#This Row],[ACA Number]],Table122128[NAT Number],Table122128[TT race points])</f>
        <v>363.11</v>
      </c>
      <c r="AI10">
        <f>_xlfn.XLOOKUP(Table124161167[[#This Row],[ACA Number]],Table122110193446587082[NAT Number],Table122110193446587082[TT race points])</f>
        <v>255.78</v>
      </c>
      <c r="AJ10" cm="1">
        <f t="array" ref="AJ10">_xlfn.LET(_xlpm.r,Table124161167[[#This Row],[PM SL1]:[MF SL]],_xlpm.m,_xlfn.AGGREGATE(15,6,_xlpm.r/(_xlpm.r&lt;&gt;999.99),1),IFERROR(_xlpm.m,999.99))</f>
        <v>255.78</v>
      </c>
      <c r="AK10" cm="1">
        <f t="array" ref="AK10">_xlfn.LET(_xlpm.r,Table124161167[[#This Row],[PM SL1]:[MF SL]],_xlpm.m,_xlfn.AGGREGATE(15,6,_xlpm.r/(_xlpm.r&lt;&gt;999.99),2),IFERROR(_xlpm.m,999.99))</f>
        <v>363.11</v>
      </c>
      <c r="AM10">
        <v>121115</v>
      </c>
      <c r="AN10" t="s">
        <v>929</v>
      </c>
      <c r="AO10" t="s">
        <v>716</v>
      </c>
      <c r="AP10">
        <f>_xlfn.XLOOKUP(Table125162168[[#This Row],[ACA Number]],Table1221101934465870100106[NAT Number],Table1221101934465870100106[TT race points])</f>
        <v>999.99</v>
      </c>
      <c r="AQ10">
        <f>_xlfn.XLOOKUP(Table125162168[[#This Row],[ACA Number]],Table1221101934465870100[NAT Number],Table1221101934465870100[TT race points])</f>
        <v>255.57</v>
      </c>
      <c r="AR10">
        <f>_xlfn.XLOOKUP(Table125162168[[#This Row],[ACA Number]],Table1221101934465870[NAT Number],Table1221101934465870[TT race points])</f>
        <v>121.16</v>
      </c>
      <c r="AS10" cm="1">
        <f t="array" ref="AS10">_xlfn.LET(_xlpm.r,Table125162168[[#This Row],[CM GS1]:[MF GS]],_xlpm.m,_xlfn.AGGREGATE(15,6,_xlpm.r/(_xlpm.r&lt;&gt;999.99),1),IFERROR(_xlpm.m,999.99))</f>
        <v>121.16</v>
      </c>
      <c r="AT10" cm="1">
        <f t="array" ref="AT10">_xlfn.LET(_xlpm.r,Table125162168[[#This Row],[CM GS1]:[MF GS]],_xlpm.m,_xlfn.AGGREGATE(15,6,_xlpm.r/(_xlpm.r&lt;&gt;999.99),2),IFERROR(_xlpm.m,999.99))</f>
        <v>255.57</v>
      </c>
      <c r="AV10">
        <v>93284</v>
      </c>
      <c r="AW10" t="s">
        <v>718</v>
      </c>
      <c r="AX10" t="s">
        <v>716</v>
      </c>
      <c r="AY10">
        <f>_xlfn.XLOOKUP(Table126163169[[#This Row],[ACA Number]],Table121158164[ACA Number],Table121158164[Best 1 run SL race])</f>
        <v>0</v>
      </c>
      <c r="AZ10">
        <f>_xlfn.XLOOKUP(Table126163169[[#This Row],[ACA Number]],Table123160166[ACA Number],Table123160166[Best 1 Run])</f>
        <v>0</v>
      </c>
      <c r="BA10">
        <f>_xlfn.XLOOKUP(Table126163169[[#This Row],[ACA Number]],Table122159165[ACA Number],Table122159165[Best 1 run GS Race])</f>
        <v>36.85</v>
      </c>
      <c r="BB10">
        <f>_xlfn.XLOOKUP(Table126163169[[#This Row],[ACA Number]],Table124161167[ACA Number],Table124161167[Best result],)</f>
        <v>999.99</v>
      </c>
      <c r="BC10">
        <f>_xlfn.XLOOKUP(Table126163169[[#This Row],[ACA Number]],Table124161167[ACA Number],Table124161167[2nd Best Result])</f>
        <v>999.99</v>
      </c>
      <c r="BD10">
        <f>_xlfn.XLOOKUP(Table126163169[[#This Row],[ACA Number]],Table125162168[ACA Number],Table125162168[Best result])</f>
        <v>3.93</v>
      </c>
      <c r="BE10">
        <f>_xlfn.XLOOKUP(Table126163169[[#This Row],[ACA Number]],Table125162168[ACA Number],Table125162168[2nd Best Result])</f>
        <v>11.76</v>
      </c>
      <c r="BF10">
        <f t="shared" si="0"/>
        <v>2052.52</v>
      </c>
      <c r="BG10">
        <f>_xlfn.RANK.EQ(Table126163169[[#This Row],[Total Points]],Table126163169[Total Points],1)</f>
        <v>8</v>
      </c>
    </row>
    <row r="11" spans="1:59" x14ac:dyDescent="0.3">
      <c r="A11">
        <v>89752</v>
      </c>
      <c r="B11" t="s">
        <v>723</v>
      </c>
      <c r="C11" t="s">
        <v>716</v>
      </c>
      <c r="D11">
        <f>_xlfn.XLOOKUP(Table121158164[[#This Row],[ACA Number]],Table1221[NAT Number],Table1221[run 1 points])</f>
        <v>8.68</v>
      </c>
      <c r="E11">
        <f>_xlfn.XLOOKUP(Table121158164[[#This Row],[ACA Number]],Table1221[NAT Number],Table1221[run 2 points])</f>
        <v>65.48</v>
      </c>
      <c r="F11">
        <f>_xlfn.XLOOKUP(Table121158164[[#This Row],[ACA Number]],Table122128[NAT Number],Table122128[run 1 points])</f>
        <v>54.79</v>
      </c>
      <c r="G11">
        <f>_xlfn.XLOOKUP(Table121158164[[#This Row],[ACA Number]],Table122128[NAT Number],Table122128[run 2 points])</f>
        <v>56.61</v>
      </c>
      <c r="H11">
        <f>_xlfn.XLOOKUP(Table121158164[[#This Row],[ACA Number]],Table122110193446587082[NAT Number],Table122110193446587082[run 1 points])</f>
        <v>60.81</v>
      </c>
      <c r="I11">
        <f>_xlfn.XLOOKUP(Table121158164[[#This Row],[ACA Number]],Table122110193446587082[NAT Number],Table122110193446587082[run 2 points])</f>
        <v>43.54</v>
      </c>
      <c r="J11" cm="1">
        <f t="array" ref="J11">_xlfn.LET(_xlpm.r,Table121158164[[#This Row],[PM SL1 R1]:[MF SL1 R2]],_xlpm.m,_xlfn.AGGREGATE(15,6,_xlpm.r/(_xlpm.r&lt;&gt;999.99),1),IFERROR(_xlpm.m,999.99))</f>
        <v>8.68</v>
      </c>
      <c r="L11">
        <v>89752</v>
      </c>
      <c r="M11" t="s">
        <v>723</v>
      </c>
      <c r="N11" t="s">
        <v>716</v>
      </c>
      <c r="O11">
        <f>_xlfn.XLOOKUP(Table122159165[[#This Row],[ACA Number]],Table1271631[NAT Number],Table1271631[run 1 points])</f>
        <v>69.150000000000006</v>
      </c>
      <c r="P11">
        <f>_xlfn.XLOOKUP(Table122159165[[#This Row],[ACA Number]],Table1221101934[NAT Number],Table1221101934[run 1 points])</f>
        <v>82.96</v>
      </c>
      <c r="Q11" cm="1">
        <f t="array" ref="Q11">_xlfn.LET(_xlpm.r,Table122159165[[#This Row],[CM SG R1]:[CM SG R2]],_xlpm.m,_xlfn.AGGREGATE(15,6,_xlpm.r/(_xlpm.r&lt;&gt;999.99),1),IFERROR(_xlpm.m,999.99))</f>
        <v>69.150000000000006</v>
      </c>
      <c r="S11">
        <v>89752</v>
      </c>
      <c r="T11" t="s">
        <v>723</v>
      </c>
      <c r="U11" t="s">
        <v>716</v>
      </c>
      <c r="V11">
        <f>_xlfn.XLOOKUP(Table123160166[[#This Row],[ACA Number]],Table1221101934465870100106[NAT Number],Table1221101934465870100106[run 1 points])</f>
        <v>999.99</v>
      </c>
      <c r="W11">
        <f>_xlfn.XLOOKUP(Table123160166[[#This Row],[ACA Number]],Table1221101934465870100106[NAT Number],Table1221101934465870100106[run 2 points])</f>
        <v>40.47</v>
      </c>
      <c r="X11">
        <f>_xlfn.XLOOKUP(Table123160166[[#This Row],[ACA Number]],Table1221101934465870100[NAT Number],Table1221101934465870100[run 1 points])</f>
        <v>999.99</v>
      </c>
      <c r="Y11">
        <f>_xlfn.XLOOKUP(Table123160166[[#This Row],[ACA Number]],Table1221101934465870100[NAT Number],Table1221101934465870100[run 2 points])</f>
        <v>999.99</v>
      </c>
      <c r="Z11">
        <f>_xlfn.XLOOKUP(Table123160166[[#This Row],[ACA Number]],Table1221101934465870[NAT Number],Table1221101934465870[run 1 points])</f>
        <v>0</v>
      </c>
      <c r="AA11">
        <f>_xlfn.XLOOKUP(Table123160166[[#This Row],[ACA Number]],Table1221101934465870[NAT Number],Table1221101934465870[run 2 points])</f>
        <v>13.77</v>
      </c>
      <c r="AB11" cm="1">
        <f t="array" ref="AB11">_xlfn.LET(_xlpm.r,Table123160166[[#This Row],[CM GS1 R1]:[MF GS R2]],_xlpm.m,_xlfn.AGGREGATE(15,6,_xlpm.r/(_xlpm.r&lt;&gt;999.99),1),IFERROR(_xlpm.m,999.99))</f>
        <v>0</v>
      </c>
      <c r="AD11">
        <v>89752</v>
      </c>
      <c r="AE11" t="s">
        <v>723</v>
      </c>
      <c r="AF11" t="s">
        <v>716</v>
      </c>
      <c r="AG11">
        <f>_xlfn.XLOOKUP(Table124161167[[#This Row],[ACA Number]],Table1221[NAT Number],Table1221[TT race points])</f>
        <v>36.520000000000003</v>
      </c>
      <c r="AH11">
        <f>_xlfn.XLOOKUP(Table124161167[[#This Row],[ACA Number]],Table122128[NAT Number],Table122128[TT race points])</f>
        <v>52.07</v>
      </c>
      <c r="AI11">
        <f>_xlfn.XLOOKUP(Table124161167[[#This Row],[ACA Number]],Table122110193446587082[NAT Number],Table122110193446587082[TT race points])</f>
        <v>34.19</v>
      </c>
      <c r="AJ11" cm="1">
        <f t="array" ref="AJ11">_xlfn.LET(_xlpm.r,Table124161167[[#This Row],[PM SL1]:[MF SL]],_xlpm.m,_xlfn.AGGREGATE(15,6,_xlpm.r/(_xlpm.r&lt;&gt;999.99),1),IFERROR(_xlpm.m,999.99))</f>
        <v>34.19</v>
      </c>
      <c r="AK11" cm="1">
        <f t="array" ref="AK11">_xlfn.LET(_xlpm.r,Table124161167[[#This Row],[PM SL1]:[MF SL]],_xlpm.m,_xlfn.AGGREGATE(15,6,_xlpm.r/(_xlpm.r&lt;&gt;999.99),2),IFERROR(_xlpm.m,999.99))</f>
        <v>36.520000000000003</v>
      </c>
      <c r="AM11">
        <v>89752</v>
      </c>
      <c r="AN11" t="s">
        <v>723</v>
      </c>
      <c r="AO11" t="s">
        <v>716</v>
      </c>
      <c r="AP11">
        <f>_xlfn.XLOOKUP(Table125162168[[#This Row],[ACA Number]],Table1221101934465870100106[NAT Number],Table1221101934465870100106[TT race points])</f>
        <v>999.99</v>
      </c>
      <c r="AQ11">
        <f>_xlfn.XLOOKUP(Table125162168[[#This Row],[ACA Number]],Table1221101934465870100[NAT Number],Table1221101934465870100[TT race points])</f>
        <v>999.99</v>
      </c>
      <c r="AR11">
        <f>_xlfn.XLOOKUP(Table125162168[[#This Row],[ACA Number]],Table1221101934465870[NAT Number],Table1221101934465870[TT race points])</f>
        <v>0</v>
      </c>
      <c r="AS11" cm="1">
        <f t="array" ref="AS11">_xlfn.LET(_xlpm.r,Table125162168[[#This Row],[CM GS1]:[MF GS]],_xlpm.m,_xlfn.AGGREGATE(15,6,_xlpm.r/(_xlpm.r&lt;&gt;999.99),1),IFERROR(_xlpm.m,999.99))</f>
        <v>0</v>
      </c>
      <c r="AT11" cm="1">
        <f t="array" ref="AT11">_xlfn.LET(_xlpm.r,Table125162168[[#This Row],[CM GS1]:[MF GS]],_xlpm.m,_xlfn.AGGREGATE(15,6,_xlpm.r/(_xlpm.r&lt;&gt;999.99),2),IFERROR(_xlpm.m,999.99))</f>
        <v>999.99</v>
      </c>
      <c r="AV11">
        <v>121115</v>
      </c>
      <c r="AW11" t="s">
        <v>929</v>
      </c>
      <c r="AX11" t="s">
        <v>716</v>
      </c>
      <c r="AY11">
        <f>_xlfn.XLOOKUP(Table126163169[[#This Row],[ACA Number]],Table121158164[ACA Number],Table121158164[Best 1 run SL race])</f>
        <v>270.63</v>
      </c>
      <c r="AZ11">
        <f>_xlfn.XLOOKUP(Table126163169[[#This Row],[ACA Number]],Table123160166[ACA Number],Table123160166[Best 1 Run])</f>
        <v>128.35</v>
      </c>
      <c r="BA11">
        <f>_xlfn.XLOOKUP(Table126163169[[#This Row],[ACA Number]],Table122159165[ACA Number],Table122159165[Best 1 run GS Race])</f>
        <v>999.99</v>
      </c>
      <c r="BB11">
        <f>_xlfn.XLOOKUP(Table126163169[[#This Row],[ACA Number]],Table124161167[ACA Number],Table124161167[Best result],)</f>
        <v>255.78</v>
      </c>
      <c r="BC11">
        <f>_xlfn.XLOOKUP(Table126163169[[#This Row],[ACA Number]],Table124161167[ACA Number],Table124161167[2nd Best Result])</f>
        <v>363.11</v>
      </c>
      <c r="BD11">
        <f>_xlfn.XLOOKUP(Table126163169[[#This Row],[ACA Number]],Table125162168[ACA Number],Table125162168[Best result])</f>
        <v>121.16</v>
      </c>
      <c r="BE11">
        <f>_xlfn.XLOOKUP(Table126163169[[#This Row],[ACA Number]],Table125162168[ACA Number],Table125162168[2nd Best Result])</f>
        <v>255.57</v>
      </c>
      <c r="BF11">
        <f t="shared" si="0"/>
        <v>2394.59</v>
      </c>
      <c r="BG11">
        <f>_xlfn.RANK.EQ(Table126163169[[#This Row],[Total Points]],Table126163169[Total Points],1)</f>
        <v>9</v>
      </c>
    </row>
    <row r="12" spans="1:59" x14ac:dyDescent="0.3">
      <c r="A12">
        <v>104665</v>
      </c>
      <c r="B12" t="s">
        <v>724</v>
      </c>
      <c r="C12" t="s">
        <v>716</v>
      </c>
      <c r="D12">
        <f>_xlfn.XLOOKUP(Table121158164[[#This Row],[ACA Number]],Table1221[NAT Number],Table1221[run 1 points])</f>
        <v>181</v>
      </c>
      <c r="E12">
        <f>_xlfn.XLOOKUP(Table121158164[[#This Row],[ACA Number]],Table1221[NAT Number],Table1221[run 2 points])</f>
        <v>212.07</v>
      </c>
      <c r="F12">
        <f>_xlfn.XLOOKUP(Table121158164[[#This Row],[ACA Number]],Table122128[NAT Number],Table122128[run 1 points])</f>
        <v>999.99</v>
      </c>
      <c r="G12">
        <f>_xlfn.XLOOKUP(Table121158164[[#This Row],[ACA Number]],Table122128[NAT Number],Table122128[run 2 points])</f>
        <v>193.51</v>
      </c>
      <c r="H12">
        <f>_xlfn.XLOOKUP(Table121158164[[#This Row],[ACA Number]],Table122110193446587082[NAT Number],Table122110193446587082[run 1 points])</f>
        <v>158.19</v>
      </c>
      <c r="I12">
        <f>_xlfn.XLOOKUP(Table121158164[[#This Row],[ACA Number]],Table122110193446587082[NAT Number],Table122110193446587082[run 2 points])</f>
        <v>177.78</v>
      </c>
      <c r="J12" cm="1">
        <f t="array" ref="J12">_xlfn.LET(_xlpm.r,Table121158164[[#This Row],[PM SL1 R1]:[MF SL1 R2]],_xlpm.m,_xlfn.AGGREGATE(15,6,_xlpm.r/(_xlpm.r&lt;&gt;999.99),1),IFERROR(_xlpm.m,999.99))</f>
        <v>158.19</v>
      </c>
      <c r="L12">
        <v>104665</v>
      </c>
      <c r="M12" t="s">
        <v>724</v>
      </c>
      <c r="N12" t="s">
        <v>716</v>
      </c>
      <c r="O12">
        <f>_xlfn.XLOOKUP(Table122159165[[#This Row],[ACA Number]],Table1271631[NAT Number],Table1271631[run 1 points])</f>
        <v>222.82</v>
      </c>
      <c r="P12">
        <f>_xlfn.XLOOKUP(Table122159165[[#This Row],[ACA Number]],Table1221101934[NAT Number],Table1221101934[run 1 points])</f>
        <v>237.54</v>
      </c>
      <c r="Q12" cm="1">
        <f t="array" ref="Q12">_xlfn.LET(_xlpm.r,Table122159165[[#This Row],[CM SG R1]:[CM SG R2]],_xlpm.m,_xlfn.AGGREGATE(15,6,_xlpm.r/(_xlpm.r&lt;&gt;999.99),1),IFERROR(_xlpm.m,999.99))</f>
        <v>222.82</v>
      </c>
      <c r="S12">
        <v>104665</v>
      </c>
      <c r="T12" t="s">
        <v>724</v>
      </c>
      <c r="U12" t="s">
        <v>716</v>
      </c>
      <c r="V12">
        <f>_xlfn.XLOOKUP(Table123160166[[#This Row],[ACA Number]],Table1221101934465870100106[NAT Number],Table1221101934465870100106[run 1 points])</f>
        <v>170.49</v>
      </c>
      <c r="W12">
        <f>_xlfn.XLOOKUP(Table123160166[[#This Row],[ACA Number]],Table1221101934465870100106[NAT Number],Table1221101934465870100106[run 2 points])</f>
        <v>156.13999999999999</v>
      </c>
      <c r="X12">
        <f>_xlfn.XLOOKUP(Table123160166[[#This Row],[ACA Number]],Table1221101934465870100[NAT Number],Table1221101934465870100[run 1 points])</f>
        <v>136.68</v>
      </c>
      <c r="Y12">
        <f>_xlfn.XLOOKUP(Table123160166[[#This Row],[ACA Number]],Table1221101934465870100[NAT Number],Table1221101934465870100[run 2 points])</f>
        <v>152.72999999999999</v>
      </c>
      <c r="Z12">
        <f>_xlfn.XLOOKUP(Table123160166[[#This Row],[ACA Number]],Table1221101934465870[NAT Number],Table1221101934465870[run 1 points])</f>
        <v>57.05</v>
      </c>
      <c r="AA12">
        <f>_xlfn.XLOOKUP(Table123160166[[#This Row],[ACA Number]],Table1221101934465870[NAT Number],Table1221101934465870[run 2 points])</f>
        <v>999.99</v>
      </c>
      <c r="AB12" cm="1">
        <f t="array" ref="AB12">_xlfn.LET(_xlpm.r,Table123160166[[#This Row],[CM GS1 R1]:[MF GS R2]],_xlpm.m,_xlfn.AGGREGATE(15,6,_xlpm.r/(_xlpm.r&lt;&gt;999.99),1),IFERROR(_xlpm.m,999.99))</f>
        <v>57.05</v>
      </c>
      <c r="AD12">
        <v>104665</v>
      </c>
      <c r="AE12" t="s">
        <v>724</v>
      </c>
      <c r="AF12" t="s">
        <v>716</v>
      </c>
      <c r="AG12">
        <f>_xlfn.XLOOKUP(Table124161167[[#This Row],[ACA Number]],Table1221[NAT Number],Table1221[TT race points])</f>
        <v>196.23</v>
      </c>
      <c r="AH12">
        <f>_xlfn.XLOOKUP(Table124161167[[#This Row],[ACA Number]],Table122128[NAT Number],Table122128[TT race points])</f>
        <v>999.99</v>
      </c>
      <c r="AI12">
        <f>_xlfn.XLOOKUP(Table124161167[[#This Row],[ACA Number]],Table122110193446587082[NAT Number],Table122110193446587082[TT race points])</f>
        <v>147.63</v>
      </c>
      <c r="AJ12" cm="1">
        <f t="array" ref="AJ12">_xlfn.LET(_xlpm.r,Table124161167[[#This Row],[PM SL1]:[MF SL]],_xlpm.m,_xlfn.AGGREGATE(15,6,_xlpm.r/(_xlpm.r&lt;&gt;999.99),1),IFERROR(_xlpm.m,999.99))</f>
        <v>147.63</v>
      </c>
      <c r="AK12" cm="1">
        <f t="array" ref="AK12">_xlfn.LET(_xlpm.r,Table124161167[[#This Row],[PM SL1]:[MF SL]],_xlpm.m,_xlfn.AGGREGATE(15,6,_xlpm.r/(_xlpm.r&lt;&gt;999.99),2),IFERROR(_xlpm.m,999.99))</f>
        <v>196.23</v>
      </c>
      <c r="AM12">
        <v>104665</v>
      </c>
      <c r="AN12" t="s">
        <v>724</v>
      </c>
      <c r="AO12" t="s">
        <v>716</v>
      </c>
      <c r="AP12">
        <f>_xlfn.XLOOKUP(Table125162168[[#This Row],[ACA Number]],Table1221101934465870100106[NAT Number],Table1221101934465870100106[TT race points])</f>
        <v>163.07</v>
      </c>
      <c r="AQ12">
        <f>_xlfn.XLOOKUP(Table125162168[[#This Row],[ACA Number]],Table1221101934465870100[NAT Number],Table1221101934465870100[TT race points])</f>
        <v>144.38</v>
      </c>
      <c r="AR12">
        <f>_xlfn.XLOOKUP(Table125162168[[#This Row],[ACA Number]],Table1221101934465870[NAT Number],Table1221101934465870[TT race points])</f>
        <v>999.99</v>
      </c>
      <c r="AS12" cm="1">
        <f t="array" ref="AS12">_xlfn.LET(_xlpm.r,Table125162168[[#This Row],[CM GS1]:[MF GS]],_xlpm.m,_xlfn.AGGREGATE(15,6,_xlpm.r/(_xlpm.r&lt;&gt;999.99),1),IFERROR(_xlpm.m,999.99))</f>
        <v>144.38</v>
      </c>
      <c r="AT12" cm="1">
        <f t="array" ref="AT12">_xlfn.LET(_xlpm.r,Table125162168[[#This Row],[CM GS1]:[MF GS]],_xlpm.m,_xlfn.AGGREGATE(15,6,_xlpm.r/(_xlpm.r&lt;&gt;999.99),2),IFERROR(_xlpm.m,999.99))</f>
        <v>163.07</v>
      </c>
      <c r="AV12">
        <v>94556</v>
      </c>
      <c r="AW12" t="s">
        <v>725</v>
      </c>
      <c r="AX12" t="s">
        <v>716</v>
      </c>
      <c r="AY12">
        <f>_xlfn.XLOOKUP(Table126163169[[#This Row],[ACA Number]],Table121158164[ACA Number],Table121158164[Best 1 run SL race])</f>
        <v>121.55</v>
      </c>
      <c r="AZ12">
        <f>_xlfn.XLOOKUP(Table126163169[[#This Row],[ACA Number]],Table123160166[ACA Number],Table123160166[Best 1 Run])</f>
        <v>54.18</v>
      </c>
      <c r="BA12">
        <f>_xlfn.XLOOKUP(Table126163169[[#This Row],[ACA Number]],Table122159165[ACA Number],Table122159165[Best 1 run GS Race])</f>
        <v>999.99</v>
      </c>
      <c r="BB12">
        <f>_xlfn.XLOOKUP(Table126163169[[#This Row],[ACA Number]],Table124161167[ACA Number],Table124161167[Best result],)</f>
        <v>104.79</v>
      </c>
      <c r="BC12">
        <f>_xlfn.XLOOKUP(Table126163169[[#This Row],[ACA Number]],Table124161167[ACA Number],Table124161167[2nd Best Result])</f>
        <v>999.99</v>
      </c>
      <c r="BD12">
        <f>_xlfn.XLOOKUP(Table126163169[[#This Row],[ACA Number]],Table125162168[ACA Number],Table125162168[Best result])</f>
        <v>52.74</v>
      </c>
      <c r="BE12">
        <f>_xlfn.XLOOKUP(Table126163169[[#This Row],[ACA Number]],Table125162168[ACA Number],Table125162168[2nd Best Result])</f>
        <v>184</v>
      </c>
      <c r="BF12">
        <f t="shared" si="0"/>
        <v>2517.2399999999998</v>
      </c>
      <c r="BG12">
        <f>_xlfn.RANK.EQ(Table126163169[[#This Row],[Total Points]],Table126163169[Total Points],1)</f>
        <v>10</v>
      </c>
    </row>
    <row r="13" spans="1:59" x14ac:dyDescent="0.3">
      <c r="A13">
        <v>88934</v>
      </c>
      <c r="B13" t="s">
        <v>930</v>
      </c>
      <c r="C13" t="s">
        <v>716</v>
      </c>
      <c r="D13">
        <f>_xlfn.XLOOKUP(Table121158164[[#This Row],[ACA Number]],Table1221[NAT Number],Table1221[run 1 points])</f>
        <v>211.05</v>
      </c>
      <c r="E13">
        <f>_xlfn.XLOOKUP(Table121158164[[#This Row],[ACA Number]],Table1221[NAT Number],Table1221[run 2 points])</f>
        <v>238.12</v>
      </c>
      <c r="F13">
        <f>_xlfn.XLOOKUP(Table121158164[[#This Row],[ACA Number]],Table122128[NAT Number],Table122128[run 1 points])</f>
        <v>214.48</v>
      </c>
      <c r="G13">
        <f>_xlfn.XLOOKUP(Table121158164[[#This Row],[ACA Number]],Table122128[NAT Number],Table122128[run 2 points])</f>
        <v>200.46</v>
      </c>
      <c r="H13">
        <f>_xlfn.XLOOKUP(Table121158164[[#This Row],[ACA Number]],Table122110193446587082[NAT Number],Table122110193446587082[run 1 points])</f>
        <v>169.49</v>
      </c>
      <c r="I13">
        <f>_xlfn.XLOOKUP(Table121158164[[#This Row],[ACA Number]],Table122110193446587082[NAT Number],Table122110193446587082[run 2 points])</f>
        <v>133.08000000000001</v>
      </c>
      <c r="J13" cm="1">
        <f t="array" ref="J13">_xlfn.LET(_xlpm.r,Table121158164[[#This Row],[PM SL1 R1]:[MF SL1 R2]],_xlpm.m,_xlfn.AGGREGATE(15,6,_xlpm.r/(_xlpm.r&lt;&gt;999.99),1),IFERROR(_xlpm.m,999.99))</f>
        <v>133.08000000000001</v>
      </c>
      <c r="L13">
        <v>88934</v>
      </c>
      <c r="M13" t="s">
        <v>930</v>
      </c>
      <c r="N13" t="s">
        <v>716</v>
      </c>
      <c r="O13">
        <f>_xlfn.XLOOKUP(Table122159165[[#This Row],[ACA Number]],Table1271631[NAT Number],Table1271631[run 1 points])</f>
        <v>238.88</v>
      </c>
      <c r="P13">
        <f>_xlfn.XLOOKUP(Table122159165[[#This Row],[ACA Number]],Table1221101934[NAT Number],Table1221101934[run 1 points])</f>
        <v>238</v>
      </c>
      <c r="Q13" cm="1">
        <f t="array" ref="Q13">_xlfn.LET(_xlpm.r,Table122159165[[#This Row],[CM SG R1]:[CM SG R2]],_xlpm.m,_xlfn.AGGREGATE(15,6,_xlpm.r/(_xlpm.r&lt;&gt;999.99),1),IFERROR(_xlpm.m,999.99))</f>
        <v>238</v>
      </c>
      <c r="S13">
        <v>88934</v>
      </c>
      <c r="T13" t="s">
        <v>930</v>
      </c>
      <c r="U13" t="s">
        <v>716</v>
      </c>
      <c r="V13">
        <f>_xlfn.XLOOKUP(Table123160166[[#This Row],[ACA Number]],Table1221101934465870100106[NAT Number],Table1221101934465870100106[run 1 points])</f>
        <v>159.82</v>
      </c>
      <c r="W13">
        <f>_xlfn.XLOOKUP(Table123160166[[#This Row],[ACA Number]],Table1221101934465870100106[NAT Number],Table1221101934465870100106[run 2 points])</f>
        <v>168.27</v>
      </c>
      <c r="X13">
        <f>_xlfn.XLOOKUP(Table123160166[[#This Row],[ACA Number]],Table1221101934465870100[NAT Number],Table1221101934465870100[run 1 points])</f>
        <v>999.99</v>
      </c>
      <c r="Y13">
        <f>_xlfn.XLOOKUP(Table123160166[[#This Row],[ACA Number]],Table1221101934465870100[NAT Number],Table1221101934465870100[run 2 points])</f>
        <v>999.99</v>
      </c>
      <c r="Z13">
        <f>_xlfn.XLOOKUP(Table123160166[[#This Row],[ACA Number]],Table1221101934465870[NAT Number],Table1221101934465870[run 1 points])</f>
        <v>62.17</v>
      </c>
      <c r="AA13">
        <f>_xlfn.XLOOKUP(Table123160166[[#This Row],[ACA Number]],Table1221101934465870[NAT Number],Table1221101934465870[run 2 points])</f>
        <v>999.99</v>
      </c>
      <c r="AB13" cm="1">
        <f t="array" ref="AB13">_xlfn.LET(_xlpm.r,Table123160166[[#This Row],[CM GS1 R1]:[MF GS R2]],_xlpm.m,_xlfn.AGGREGATE(15,6,_xlpm.r/(_xlpm.r&lt;&gt;999.99),1),IFERROR(_xlpm.m,999.99))</f>
        <v>62.17</v>
      </c>
      <c r="AD13">
        <v>88934</v>
      </c>
      <c r="AE13" t="s">
        <v>930</v>
      </c>
      <c r="AF13" t="s">
        <v>716</v>
      </c>
      <c r="AG13">
        <f>_xlfn.XLOOKUP(Table124161167[[#This Row],[ACA Number]],Table1221[NAT Number],Table1221[TT race points])</f>
        <v>224.32</v>
      </c>
      <c r="AH13">
        <f>_xlfn.XLOOKUP(Table124161167[[#This Row],[ACA Number]],Table122128[NAT Number],Table122128[TT race points])</f>
        <v>203.66</v>
      </c>
      <c r="AI13">
        <f>_xlfn.XLOOKUP(Table124161167[[#This Row],[ACA Number]],Table122110193446587082[NAT Number],Table122110193446587082[TT race points])</f>
        <v>130.88999999999999</v>
      </c>
      <c r="AJ13" cm="1">
        <f t="array" ref="AJ13">_xlfn.LET(_xlpm.r,Table124161167[[#This Row],[PM SL1]:[MF SL]],_xlpm.m,_xlfn.AGGREGATE(15,6,_xlpm.r/(_xlpm.r&lt;&gt;999.99),1),IFERROR(_xlpm.m,999.99))</f>
        <v>130.88999999999999</v>
      </c>
      <c r="AK13" cm="1">
        <f t="array" ref="AK13">_xlfn.LET(_xlpm.r,Table124161167[[#This Row],[PM SL1]:[MF SL]],_xlpm.m,_xlfn.AGGREGATE(15,6,_xlpm.r/(_xlpm.r&lt;&gt;999.99),2),IFERROR(_xlpm.m,999.99))</f>
        <v>203.66</v>
      </c>
      <c r="AM13">
        <v>88934</v>
      </c>
      <c r="AN13" t="s">
        <v>930</v>
      </c>
      <c r="AO13" t="s">
        <v>716</v>
      </c>
      <c r="AP13">
        <f>_xlfn.XLOOKUP(Table125162168[[#This Row],[ACA Number]],Table1221101934465870100106[NAT Number],Table1221101934465870100106[TT race points])</f>
        <v>164.19</v>
      </c>
      <c r="AQ13">
        <f>_xlfn.XLOOKUP(Table125162168[[#This Row],[ACA Number]],Table1221101934465870100[NAT Number],Table1221101934465870100[TT race points])</f>
        <v>999.99</v>
      </c>
      <c r="AR13">
        <f>_xlfn.XLOOKUP(Table125162168[[#This Row],[ACA Number]],Table1221101934465870[NAT Number],Table1221101934465870[TT race points])</f>
        <v>999.99</v>
      </c>
      <c r="AS13" cm="1">
        <f t="array" ref="AS13">_xlfn.LET(_xlpm.r,Table125162168[[#This Row],[CM GS1]:[MF GS]],_xlpm.m,_xlfn.AGGREGATE(15,6,_xlpm.r/(_xlpm.r&lt;&gt;999.99),1),IFERROR(_xlpm.m,999.99))</f>
        <v>164.19</v>
      </c>
      <c r="AT13" cm="1">
        <f t="array" ref="AT13">_xlfn.LET(_xlpm.r,Table125162168[[#This Row],[CM GS1]:[MF GS]],_xlpm.m,_xlfn.AGGREGATE(15,6,_xlpm.r/(_xlpm.r&lt;&gt;999.99),2),IFERROR(_xlpm.m,999.99))</f>
        <v>999.99</v>
      </c>
      <c r="AV13">
        <v>121966</v>
      </c>
      <c r="AW13" t="s">
        <v>719</v>
      </c>
      <c r="AX13" t="s">
        <v>716</v>
      </c>
      <c r="AY13">
        <f>_xlfn.XLOOKUP(Table126163169[[#This Row],[ACA Number]],Table121158164[ACA Number],Table121158164[Best 1 run SL race])</f>
        <v>308.76</v>
      </c>
      <c r="AZ13">
        <f>_xlfn.XLOOKUP(Table126163169[[#This Row],[ACA Number]],Table123160166[ACA Number],Table123160166[Best 1 Run])</f>
        <v>168.32</v>
      </c>
      <c r="BA13">
        <f>_xlfn.XLOOKUP(Table126163169[[#This Row],[ACA Number]],Table122159165[ACA Number],Table122159165[Best 1 run GS Race])</f>
        <v>999.99</v>
      </c>
      <c r="BB13">
        <f>_xlfn.XLOOKUP(Table126163169[[#This Row],[ACA Number]],Table124161167[ACA Number],Table124161167[Best result],)</f>
        <v>314.89999999999998</v>
      </c>
      <c r="BC13">
        <f>_xlfn.XLOOKUP(Table126163169[[#This Row],[ACA Number]],Table124161167[ACA Number],Table124161167[2nd Best Result])</f>
        <v>320.44</v>
      </c>
      <c r="BD13">
        <f>_xlfn.XLOOKUP(Table126163169[[#This Row],[ACA Number]],Table125162168[ACA Number],Table125162168[Best result])</f>
        <v>180.67</v>
      </c>
      <c r="BE13">
        <f>_xlfn.XLOOKUP(Table126163169[[#This Row],[ACA Number]],Table125162168[ACA Number],Table125162168[2nd Best Result])</f>
        <v>230.83</v>
      </c>
      <c r="BF13">
        <f t="shared" si="0"/>
        <v>2523.91</v>
      </c>
      <c r="BG13">
        <f>_xlfn.RANK.EQ(Table126163169[[#This Row],[Total Points]],Table126163169[Total Points],1)</f>
        <v>11</v>
      </c>
    </row>
    <row r="14" spans="1:59" x14ac:dyDescent="0.3">
      <c r="A14">
        <v>94556</v>
      </c>
      <c r="B14" t="s">
        <v>725</v>
      </c>
      <c r="C14" t="s">
        <v>716</v>
      </c>
      <c r="D14">
        <f>_xlfn.XLOOKUP(Table121158164[[#This Row],[ACA Number]],Table1221[NAT Number],Table1221[run 1 points])</f>
        <v>999.99</v>
      </c>
      <c r="E14">
        <f>_xlfn.XLOOKUP(Table121158164[[#This Row],[ACA Number]],Table1221[NAT Number],Table1221[run 2 points])</f>
        <v>999.99</v>
      </c>
      <c r="F14">
        <f>_xlfn.XLOOKUP(Table121158164[[#This Row],[ACA Number]],Table122128[NAT Number],Table122128[run 1 points])</f>
        <v>999.99</v>
      </c>
      <c r="G14">
        <f>_xlfn.XLOOKUP(Table121158164[[#This Row],[ACA Number]],Table122128[NAT Number],Table122128[run 2 points])</f>
        <v>999.99</v>
      </c>
      <c r="H14">
        <f>_xlfn.XLOOKUP(Table121158164[[#This Row],[ACA Number]],Table122110193446587082[NAT Number],Table122110193446587082[run 1 points])</f>
        <v>127.12</v>
      </c>
      <c r="I14">
        <f>_xlfn.XLOOKUP(Table121158164[[#This Row],[ACA Number]],Table122110193446587082[NAT Number],Table122110193446587082[run 2 points])</f>
        <v>121.55</v>
      </c>
      <c r="J14" cm="1">
        <f t="array" ref="J14">_xlfn.LET(_xlpm.r,Table121158164[[#This Row],[PM SL1 R1]:[MF SL1 R2]],_xlpm.m,_xlfn.AGGREGATE(15,6,_xlpm.r/(_xlpm.r&lt;&gt;999.99),1),IFERROR(_xlpm.m,999.99))</f>
        <v>121.55</v>
      </c>
      <c r="L14">
        <v>94556</v>
      </c>
      <c r="M14" t="s">
        <v>725</v>
      </c>
      <c r="N14" t="s">
        <v>716</v>
      </c>
      <c r="O14" t="e">
        <f>_xlfn.XLOOKUP(Table122159165[[#This Row],[ACA Number]],Table1271631[NAT Number],Table1271631[run 1 points])</f>
        <v>#N/A</v>
      </c>
      <c r="P14" t="e">
        <f>_xlfn.XLOOKUP(Table122159165[[#This Row],[ACA Number]],Table1221101934[NAT Number],Table1221101934[run 1 points])</f>
        <v>#N/A</v>
      </c>
      <c r="Q14" cm="1">
        <f t="array" ref="Q14">_xlfn.LET(_xlpm.r,Table122159165[[#This Row],[CM SG R1]:[CM SG R2]],_xlpm.m,_xlfn.AGGREGATE(15,6,_xlpm.r/(_xlpm.r&lt;&gt;999.99),1),IFERROR(_xlpm.m,999.99))</f>
        <v>999.99</v>
      </c>
      <c r="S14">
        <v>94556</v>
      </c>
      <c r="T14" t="s">
        <v>725</v>
      </c>
      <c r="U14" t="s">
        <v>716</v>
      </c>
      <c r="V14">
        <f>_xlfn.XLOOKUP(Table123160166[[#This Row],[ACA Number]],Table1221101934465870100106[NAT Number],Table1221101934465870100106[run 1 points])</f>
        <v>222.76</v>
      </c>
      <c r="W14">
        <f>_xlfn.XLOOKUP(Table123160166[[#This Row],[ACA Number]],Table1221101934465870100106[NAT Number],Table1221101934465870100106[run 2 points])</f>
        <v>193.54</v>
      </c>
      <c r="X14">
        <f>_xlfn.XLOOKUP(Table123160166[[#This Row],[ACA Number]],Table1221101934465870100[NAT Number],Table1221101934465870100[run 1 points])</f>
        <v>178.04</v>
      </c>
      <c r="Y14">
        <f>_xlfn.XLOOKUP(Table123160166[[#This Row],[ACA Number]],Table1221101934465870100[NAT Number],Table1221101934465870100[run 2 points])</f>
        <v>190.63</v>
      </c>
      <c r="Z14">
        <f>_xlfn.XLOOKUP(Table123160166[[#This Row],[ACA Number]],Table1221101934465870[NAT Number],Table1221101934465870[run 1 points])</f>
        <v>67.12</v>
      </c>
      <c r="AA14">
        <f>_xlfn.XLOOKUP(Table123160166[[#This Row],[ACA Number]],Table1221101934465870[NAT Number],Table1221101934465870[run 2 points])</f>
        <v>54.18</v>
      </c>
      <c r="AB14" cm="1">
        <f t="array" ref="AB14">_xlfn.LET(_xlpm.r,Table123160166[[#This Row],[CM GS1 R1]:[MF GS R2]],_xlpm.m,_xlfn.AGGREGATE(15,6,_xlpm.r/(_xlpm.r&lt;&gt;999.99),1),IFERROR(_xlpm.m,999.99))</f>
        <v>54.18</v>
      </c>
      <c r="AD14">
        <v>94556</v>
      </c>
      <c r="AE14" t="s">
        <v>725</v>
      </c>
      <c r="AF14" t="s">
        <v>716</v>
      </c>
      <c r="AG14">
        <f>_xlfn.XLOOKUP(Table124161167[[#This Row],[ACA Number]],Table1221[NAT Number],Table1221[TT race points])</f>
        <v>999.99</v>
      </c>
      <c r="AH14">
        <f>_xlfn.XLOOKUP(Table124161167[[#This Row],[ACA Number]],Table122128[NAT Number],Table122128[TT race points])</f>
        <v>999.99</v>
      </c>
      <c r="AI14">
        <f>_xlfn.XLOOKUP(Table124161167[[#This Row],[ACA Number]],Table122110193446587082[NAT Number],Table122110193446587082[TT race points])</f>
        <v>104.79</v>
      </c>
      <c r="AJ14" cm="1">
        <f t="array" ref="AJ14">_xlfn.LET(_xlpm.r,Table124161167[[#This Row],[PM SL1]:[MF SL]],_xlpm.m,_xlfn.AGGREGATE(15,6,_xlpm.r/(_xlpm.r&lt;&gt;999.99),1),IFERROR(_xlpm.m,999.99))</f>
        <v>104.79</v>
      </c>
      <c r="AK14" cm="1">
        <f t="array" ref="AK14">_xlfn.LET(_xlpm.r,Table124161167[[#This Row],[PM SL1]:[MF SL]],_xlpm.m,_xlfn.AGGREGATE(15,6,_xlpm.r/(_xlpm.r&lt;&gt;999.99),2),IFERROR(_xlpm.m,999.99))</f>
        <v>999.99</v>
      </c>
      <c r="AM14">
        <v>94556</v>
      </c>
      <c r="AN14" t="s">
        <v>725</v>
      </c>
      <c r="AO14" t="s">
        <v>716</v>
      </c>
      <c r="AP14">
        <f>_xlfn.XLOOKUP(Table125162168[[#This Row],[ACA Number]],Table1221101934465870100106[NAT Number],Table1221101934465870100106[TT race points])</f>
        <v>207.65</v>
      </c>
      <c r="AQ14">
        <f>_xlfn.XLOOKUP(Table125162168[[#This Row],[ACA Number]],Table1221101934465870100[NAT Number],Table1221101934465870100[TT race points])</f>
        <v>184</v>
      </c>
      <c r="AR14">
        <f>_xlfn.XLOOKUP(Table125162168[[#This Row],[ACA Number]],Table1221101934465870[NAT Number],Table1221101934465870[TT race points])</f>
        <v>52.74</v>
      </c>
      <c r="AS14" cm="1">
        <f t="array" ref="AS14">_xlfn.LET(_xlpm.r,Table125162168[[#This Row],[CM GS1]:[MF GS]],_xlpm.m,_xlfn.AGGREGATE(15,6,_xlpm.r/(_xlpm.r&lt;&gt;999.99),1),IFERROR(_xlpm.m,999.99))</f>
        <v>52.74</v>
      </c>
      <c r="AT14" cm="1">
        <f t="array" ref="AT14">_xlfn.LET(_xlpm.r,Table125162168[[#This Row],[CM GS1]:[MF GS]],_xlpm.m,_xlfn.AGGREGATE(15,6,_xlpm.r/(_xlpm.r&lt;&gt;999.99),2),IFERROR(_xlpm.m,999.99))</f>
        <v>184</v>
      </c>
      <c r="AV14">
        <v>92169</v>
      </c>
      <c r="AW14" t="s">
        <v>721</v>
      </c>
      <c r="AX14" t="s">
        <v>716</v>
      </c>
      <c r="AY14">
        <f>_xlfn.XLOOKUP(Table126163169[[#This Row],[ACA Number]],Table121158164[ACA Number],Table121158164[Best 1 run SL race])</f>
        <v>76.25</v>
      </c>
      <c r="AZ14">
        <f>_xlfn.XLOOKUP(Table126163169[[#This Row],[ACA Number]],Table123160166[ACA Number],Table123160166[Best 1 Run])</f>
        <v>33.75</v>
      </c>
      <c r="BA14">
        <f>_xlfn.XLOOKUP(Table126163169[[#This Row],[ACA Number]],Table122159165[ACA Number],Table122159165[Best 1 run GS Race])</f>
        <v>999.99</v>
      </c>
      <c r="BB14">
        <f>_xlfn.XLOOKUP(Table126163169[[#This Row],[ACA Number]],Table124161167[ACA Number],Table124161167[Best result],)</f>
        <v>73.39</v>
      </c>
      <c r="BC14">
        <f>_xlfn.XLOOKUP(Table126163169[[#This Row],[ACA Number]],Table124161167[ACA Number],Table124161167[2nd Best Result])</f>
        <v>999.99</v>
      </c>
      <c r="BD14">
        <f>_xlfn.XLOOKUP(Table126163169[[#This Row],[ACA Number]],Table125162168[ACA Number],Table125162168[Best result])</f>
        <v>35.46</v>
      </c>
      <c r="BE14">
        <f>_xlfn.XLOOKUP(Table126163169[[#This Row],[ACA Number]],Table125162168[ACA Number],Table125162168[2nd Best Result])</f>
        <v>999.99</v>
      </c>
      <c r="BF14">
        <f t="shared" si="0"/>
        <v>3218.8199999999997</v>
      </c>
      <c r="BG14">
        <f>_xlfn.RANK.EQ(Table126163169[[#This Row],[Total Points]],Table126163169[Total Points],1)</f>
        <v>12</v>
      </c>
    </row>
    <row r="15" spans="1:59" x14ac:dyDescent="0.3">
      <c r="A15">
        <v>93284</v>
      </c>
      <c r="B15" t="s">
        <v>718</v>
      </c>
      <c r="C15" t="s">
        <v>716</v>
      </c>
      <c r="D15">
        <f>_xlfn.XLOOKUP(Table121158164[[#This Row],[ACA Number]],Table1221[NAT Number],Table1221[run 1 points])</f>
        <v>999.99</v>
      </c>
      <c r="E15">
        <f>_xlfn.XLOOKUP(Table121158164[[#This Row],[ACA Number]],Table1221[NAT Number],Table1221[run 2 points])</f>
        <v>44.29</v>
      </c>
      <c r="F15">
        <f>_xlfn.XLOOKUP(Table121158164[[#This Row],[ACA Number]],Table122128[NAT Number],Table122128[run 1 points])</f>
        <v>999.99</v>
      </c>
      <c r="G15">
        <f>_xlfn.XLOOKUP(Table121158164[[#This Row],[ACA Number]],Table122128[NAT Number],Table122128[run 2 points])</f>
        <v>999.99</v>
      </c>
      <c r="H15">
        <f>_xlfn.XLOOKUP(Table121158164[[#This Row],[ACA Number]],Table122110193446587082[NAT Number],Table122110193446587082[run 1 points])</f>
        <v>999.99</v>
      </c>
      <c r="I15">
        <f>_xlfn.XLOOKUP(Table121158164[[#This Row],[ACA Number]],Table122110193446587082[NAT Number],Table122110193446587082[run 2 points])</f>
        <v>0</v>
      </c>
      <c r="J15" cm="1">
        <f t="array" ref="J15">_xlfn.LET(_xlpm.r,Table121158164[[#This Row],[PM SL1 R1]:[MF SL1 R2]],_xlpm.m,_xlfn.AGGREGATE(15,6,_xlpm.r/(_xlpm.r&lt;&gt;999.99),1),IFERROR(_xlpm.m,999.99))</f>
        <v>0</v>
      </c>
      <c r="L15">
        <v>93284</v>
      </c>
      <c r="M15" t="s">
        <v>718</v>
      </c>
      <c r="N15" t="s">
        <v>716</v>
      </c>
      <c r="O15">
        <f>_xlfn.XLOOKUP(Table122159165[[#This Row],[ACA Number]],Table1271631[NAT Number],Table1271631[run 1 points])</f>
        <v>52.62</v>
      </c>
      <c r="P15">
        <f>_xlfn.XLOOKUP(Table122159165[[#This Row],[ACA Number]],Table1221101934[NAT Number],Table1221101934[run 1 points])</f>
        <v>36.85</v>
      </c>
      <c r="Q15" cm="1">
        <f t="array" ref="Q15">_xlfn.LET(_xlpm.r,Table122159165[[#This Row],[CM SG R1]:[CM SG R2]],_xlpm.m,_xlfn.AGGREGATE(15,6,_xlpm.r/(_xlpm.r&lt;&gt;999.99),1),IFERROR(_xlpm.m,999.99))</f>
        <v>36.85</v>
      </c>
      <c r="S15">
        <v>93284</v>
      </c>
      <c r="T15" t="s">
        <v>718</v>
      </c>
      <c r="U15" t="s">
        <v>716</v>
      </c>
      <c r="V15">
        <f>_xlfn.XLOOKUP(Table123160166[[#This Row],[ACA Number]],Table1221101934465870100106[NAT Number],Table1221101934465870100106[run 1 points])</f>
        <v>15.05</v>
      </c>
      <c r="W15">
        <f>_xlfn.XLOOKUP(Table123160166[[#This Row],[ACA Number]],Table1221101934465870100106[NAT Number],Table1221101934465870100106[run 2 points])</f>
        <v>8.68</v>
      </c>
      <c r="X15">
        <f>_xlfn.XLOOKUP(Table123160166[[#This Row],[ACA Number]],Table1221101934465870100[NAT Number],Table1221101934465870100[run 1 points])</f>
        <v>0</v>
      </c>
      <c r="Y15">
        <f>_xlfn.XLOOKUP(Table123160166[[#This Row],[ACA Number]],Table1221101934465870100[NAT Number],Table1221101934465870100[run 2 points])</f>
        <v>8.41</v>
      </c>
      <c r="Z15">
        <f>_xlfn.XLOOKUP(Table123160166[[#This Row],[ACA Number]],Table1221101934465870[NAT Number],Table1221101934465870[run 1 points])</f>
        <v>85.82</v>
      </c>
      <c r="AA15">
        <f>_xlfn.XLOOKUP(Table123160166[[#This Row],[ACA Number]],Table1221101934465870[NAT Number],Table1221101934465870[run 2 points])</f>
        <v>0</v>
      </c>
      <c r="AB15" cm="1">
        <f t="array" ref="AB15">_xlfn.LET(_xlpm.r,Table123160166[[#This Row],[CM GS1 R1]:[MF GS R2]],_xlpm.m,_xlfn.AGGREGATE(15,6,_xlpm.r/(_xlpm.r&lt;&gt;999.99),1),IFERROR(_xlpm.m,999.99))</f>
        <v>0</v>
      </c>
      <c r="AD15">
        <v>93284</v>
      </c>
      <c r="AE15" t="s">
        <v>718</v>
      </c>
      <c r="AF15" t="s">
        <v>716</v>
      </c>
      <c r="AG15">
        <f>_xlfn.XLOOKUP(Table124161167[[#This Row],[ACA Number]],Table1221[NAT Number],Table1221[TT race points])</f>
        <v>999.99</v>
      </c>
      <c r="AH15">
        <f>_xlfn.XLOOKUP(Table124161167[[#This Row],[ACA Number]],Table122128[NAT Number],Table122128[TT race points])</f>
        <v>999.99</v>
      </c>
      <c r="AI15">
        <f>_xlfn.XLOOKUP(Table124161167[[#This Row],[ACA Number]],Table122110193446587082[NAT Number],Table122110193446587082[TT race points])</f>
        <v>999.99</v>
      </c>
      <c r="AJ15" cm="1">
        <f t="array" ref="AJ15">_xlfn.LET(_xlpm.r,Table124161167[[#This Row],[PM SL1]:[MF SL]],_xlpm.m,_xlfn.AGGREGATE(15,6,_xlpm.r/(_xlpm.r&lt;&gt;999.99),1),IFERROR(_xlpm.m,999.99))</f>
        <v>999.99</v>
      </c>
      <c r="AK15" cm="1">
        <f t="array" ref="AK15">_xlfn.LET(_xlpm.r,Table124161167[[#This Row],[PM SL1]:[MF SL]],_xlpm.m,_xlfn.AGGREGATE(15,6,_xlpm.r/(_xlpm.r&lt;&gt;999.99),2),IFERROR(_xlpm.m,999.99))</f>
        <v>999.99</v>
      </c>
      <c r="AM15">
        <v>93284</v>
      </c>
      <c r="AN15" t="s">
        <v>718</v>
      </c>
      <c r="AO15" t="s">
        <v>716</v>
      </c>
      <c r="AP15">
        <f>_xlfn.XLOOKUP(Table125162168[[#This Row],[ACA Number]],Table1221101934465870100106[NAT Number],Table1221101934465870100106[TT race points])</f>
        <v>11.76</v>
      </c>
      <c r="AQ15">
        <f>_xlfn.XLOOKUP(Table125162168[[#This Row],[ACA Number]],Table1221101934465870100[NAT Number],Table1221101934465870100[TT race points])</f>
        <v>3.93</v>
      </c>
      <c r="AR15">
        <f>_xlfn.XLOOKUP(Table125162168[[#This Row],[ACA Number]],Table1221101934465870[NAT Number],Table1221101934465870[TT race points])</f>
        <v>33.79</v>
      </c>
      <c r="AS15" cm="1">
        <f t="array" ref="AS15">_xlfn.LET(_xlpm.r,Table125162168[[#This Row],[CM GS1]:[MF GS]],_xlpm.m,_xlfn.AGGREGATE(15,6,_xlpm.r/(_xlpm.r&lt;&gt;999.99),1),IFERROR(_xlpm.m,999.99))</f>
        <v>3.93</v>
      </c>
      <c r="AT15" cm="1">
        <f t="array" ref="AT15">_xlfn.LET(_xlpm.r,Table125162168[[#This Row],[CM GS1]:[MF GS]],_xlpm.m,_xlfn.AGGREGATE(15,6,_xlpm.r/(_xlpm.r&lt;&gt;999.99),2),IFERROR(_xlpm.m,999.99))</f>
        <v>11.76</v>
      </c>
      <c r="AV15">
        <v>86727</v>
      </c>
      <c r="AW15" t="s">
        <v>715</v>
      </c>
      <c r="AX15" t="s">
        <v>716</v>
      </c>
      <c r="AY15">
        <f>_xlfn.XLOOKUP(Table126163169[[#This Row],[ACA Number]],Table121158164[ACA Number],Table121158164[Best 1 run SL race])</f>
        <v>999.99</v>
      </c>
      <c r="AZ15">
        <f>_xlfn.XLOOKUP(Table126163169[[#This Row],[ACA Number]],Table123160166[ACA Number],Table123160166[Best 1 Run])</f>
        <v>999.99</v>
      </c>
      <c r="BA15">
        <f>_xlfn.XLOOKUP(Table126163169[[#This Row],[ACA Number]],Table122159165[ACA Number],Table122159165[Best 1 run GS Race])</f>
        <v>999.99</v>
      </c>
      <c r="BB15">
        <f>_xlfn.XLOOKUP(Table126163169[[#This Row],[ACA Number]],Table124161167[ACA Number],Table124161167[Best result],)</f>
        <v>999.99</v>
      </c>
      <c r="BC15">
        <f>_xlfn.XLOOKUP(Table126163169[[#This Row],[ACA Number]],Table124161167[ACA Number],Table124161167[2nd Best Result])</f>
        <v>999.99</v>
      </c>
      <c r="BD15">
        <f>_xlfn.XLOOKUP(Table126163169[[#This Row],[ACA Number]],Table125162168[ACA Number],Table125162168[Best result])</f>
        <v>999.99</v>
      </c>
      <c r="BE15">
        <f>_xlfn.XLOOKUP(Table126163169[[#This Row],[ACA Number]],Table125162168[ACA Number],Table125162168[2nd Best Result])</f>
        <v>999.99</v>
      </c>
      <c r="BF15">
        <f t="shared" si="0"/>
        <v>6999.9299999999994</v>
      </c>
      <c r="BG15">
        <f>_xlfn.RANK.EQ(Table126163169[[#This Row],[Total Points]],Table126163169[Total Points],1)</f>
        <v>13</v>
      </c>
    </row>
  </sheetData>
  <mergeCells count="6">
    <mergeCell ref="AY1:BG1"/>
    <mergeCell ref="D1:J1"/>
    <mergeCell ref="O1:Q1"/>
    <mergeCell ref="V1:AB1"/>
    <mergeCell ref="AG1:AK1"/>
    <mergeCell ref="AP1:AT1"/>
  </mergeCells>
  <pageMargins left="0.7" right="0.7" top="0.75" bottom="0.75" header="0.3" footer="0.3"/>
  <tableParts count="6">
    <tablePart r:id="rId1"/>
    <tablePart r:id="rId2"/>
    <tablePart r:id="rId3"/>
    <tablePart r:id="rId4"/>
    <tablePart r:id="rId5"/>
    <tablePart r:id="rId6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CB3B6A-01C8-4BBB-85AD-39FE6BE99F94}">
  <dimension ref="A1:BG16"/>
  <sheetViews>
    <sheetView tabSelected="1" topLeftCell="D1" workbookViewId="0">
      <selection activeCell="AV3" sqref="AV3:AX16"/>
    </sheetView>
  </sheetViews>
  <sheetFormatPr defaultRowHeight="14.4" x14ac:dyDescent="0.3"/>
  <cols>
    <col min="1" max="1" width="13.44140625" customWidth="1"/>
    <col min="3" max="3" width="10.21875" customWidth="1"/>
    <col min="4" max="7" width="10.44140625" customWidth="1"/>
    <col min="8" max="8" width="13.33203125" bestFit="1" customWidth="1"/>
    <col min="9" max="9" width="10.33203125" customWidth="1"/>
    <col min="10" max="10" width="17.21875" customWidth="1"/>
    <col min="12" max="12" width="13.21875" customWidth="1"/>
    <col min="14" max="14" width="10" customWidth="1"/>
    <col min="15" max="16" width="10.5546875" customWidth="1"/>
    <col min="17" max="17" width="17.88671875" customWidth="1"/>
    <col min="19" max="19" width="13.21875" customWidth="1"/>
    <col min="21" max="21" width="10" customWidth="1"/>
    <col min="22" max="25" width="10.5546875" customWidth="1"/>
    <col min="26" max="27" width="10.33203125" customWidth="1"/>
    <col min="28" max="28" width="11.21875" customWidth="1"/>
    <col min="30" max="30" width="13.21875" customWidth="1"/>
    <col min="32" max="32" width="10" customWidth="1"/>
    <col min="33" max="33" width="11.33203125" bestFit="1" customWidth="1"/>
    <col min="36" max="36" width="11.33203125" customWidth="1"/>
    <col min="37" max="37" width="15.109375" customWidth="1"/>
    <col min="39" max="39" width="13.21875" customWidth="1"/>
    <col min="41" max="41" width="10" customWidth="1"/>
    <col min="44" max="44" width="15" bestFit="1" customWidth="1"/>
    <col min="45" max="45" width="11.33203125" customWidth="1"/>
    <col min="46" max="46" width="15.109375" customWidth="1"/>
    <col min="48" max="48" width="13.21875" customWidth="1"/>
    <col min="49" max="49" width="15.6640625" bestFit="1" customWidth="1"/>
    <col min="50" max="50" width="10" customWidth="1"/>
    <col min="51" max="51" width="9.109375" customWidth="1"/>
    <col min="52" max="52" width="10" customWidth="1"/>
    <col min="53" max="53" width="9.21875" customWidth="1"/>
    <col min="54" max="54" width="12.6640625" customWidth="1"/>
    <col min="55" max="55" width="16" customWidth="1"/>
    <col min="56" max="56" width="13.109375" customWidth="1"/>
    <col min="57" max="57" width="16.44140625" customWidth="1"/>
    <col min="58" max="58" width="10.109375" customWidth="1"/>
    <col min="59" max="59" width="12.109375" customWidth="1"/>
  </cols>
  <sheetData>
    <row r="1" spans="1:59" ht="21" x14ac:dyDescent="0.4">
      <c r="A1" s="4"/>
      <c r="B1" s="4"/>
      <c r="C1" s="4"/>
      <c r="D1" s="7" t="s">
        <v>450</v>
      </c>
      <c r="E1" s="7"/>
      <c r="F1" s="7"/>
      <c r="G1" s="7"/>
      <c r="H1" s="7"/>
      <c r="I1" s="7"/>
      <c r="J1" s="7"/>
      <c r="K1" s="4"/>
      <c r="L1" s="4"/>
      <c r="M1" s="4"/>
      <c r="N1" s="4"/>
      <c r="O1" s="7" t="s">
        <v>452</v>
      </c>
      <c r="P1" s="7"/>
      <c r="Q1" s="7"/>
      <c r="R1" s="4"/>
      <c r="S1" s="4"/>
      <c r="T1" s="4"/>
      <c r="U1" s="4"/>
      <c r="V1" s="7" t="s">
        <v>451</v>
      </c>
      <c r="W1" s="7"/>
      <c r="X1" s="7"/>
      <c r="Y1" s="7"/>
      <c r="Z1" s="7"/>
      <c r="AA1" s="7"/>
      <c r="AB1" s="7"/>
      <c r="AC1" s="4"/>
      <c r="AD1" s="4"/>
      <c r="AE1" s="4"/>
      <c r="AF1" s="4"/>
      <c r="AG1" s="7" t="s">
        <v>453</v>
      </c>
      <c r="AH1" s="7"/>
      <c r="AI1" s="7"/>
      <c r="AJ1" s="7"/>
      <c r="AK1" s="7"/>
      <c r="AL1" s="4"/>
      <c r="AM1" s="4"/>
      <c r="AN1" s="4"/>
      <c r="AO1" s="4"/>
      <c r="AP1" s="7" t="s">
        <v>458</v>
      </c>
      <c r="AQ1" s="7"/>
      <c r="AR1" s="7"/>
      <c r="AS1" s="7"/>
      <c r="AT1" s="7"/>
      <c r="AU1" s="4"/>
      <c r="AV1" s="4"/>
      <c r="AW1" s="4"/>
      <c r="AX1" s="4"/>
      <c r="AY1" s="7" t="s">
        <v>603</v>
      </c>
      <c r="AZ1" s="7"/>
      <c r="BA1" s="7"/>
      <c r="BB1" s="7"/>
      <c r="BC1" s="7"/>
      <c r="BD1" s="7"/>
      <c r="BE1" s="7"/>
      <c r="BF1" s="7"/>
      <c r="BG1" s="7"/>
    </row>
    <row r="2" spans="1:59" x14ac:dyDescent="0.3">
      <c r="A2" t="s">
        <v>367</v>
      </c>
      <c r="B2" t="s">
        <v>368</v>
      </c>
      <c r="C2" t="s">
        <v>354</v>
      </c>
      <c r="D2" t="s">
        <v>604</v>
      </c>
      <c r="E2" t="s">
        <v>605</v>
      </c>
      <c r="F2" t="s">
        <v>606</v>
      </c>
      <c r="G2" t="s">
        <v>607</v>
      </c>
      <c r="H2" t="s">
        <v>608</v>
      </c>
      <c r="I2" t="s">
        <v>609</v>
      </c>
      <c r="J2" t="s">
        <v>456</v>
      </c>
      <c r="L2" t="s">
        <v>367</v>
      </c>
      <c r="M2" t="s">
        <v>368</v>
      </c>
      <c r="N2" t="s">
        <v>354</v>
      </c>
      <c r="O2" t="s">
        <v>610</v>
      </c>
      <c r="P2" t="s">
        <v>611</v>
      </c>
      <c r="Q2" t="s">
        <v>457</v>
      </c>
      <c r="S2" t="s">
        <v>367</v>
      </c>
      <c r="T2" t="s">
        <v>368</v>
      </c>
      <c r="U2" t="s">
        <v>354</v>
      </c>
      <c r="V2" t="s">
        <v>612</v>
      </c>
      <c r="W2" t="s">
        <v>613</v>
      </c>
      <c r="X2" t="s">
        <v>614</v>
      </c>
      <c r="Y2" t="s">
        <v>615</v>
      </c>
      <c r="Z2" t="s">
        <v>616</v>
      </c>
      <c r="AA2" t="s">
        <v>617</v>
      </c>
      <c r="AB2" t="s">
        <v>369</v>
      </c>
      <c r="AD2" t="s">
        <v>367</v>
      </c>
      <c r="AE2" t="s">
        <v>368</v>
      </c>
      <c r="AF2" t="s">
        <v>354</v>
      </c>
      <c r="AG2" t="s">
        <v>618</v>
      </c>
      <c r="AH2" t="s">
        <v>619</v>
      </c>
      <c r="AI2" t="s">
        <v>620</v>
      </c>
      <c r="AJ2" t="s">
        <v>454</v>
      </c>
      <c r="AK2" t="s">
        <v>455</v>
      </c>
      <c r="AM2" t="s">
        <v>367</v>
      </c>
      <c r="AN2" t="s">
        <v>368</v>
      </c>
      <c r="AO2" t="s">
        <v>354</v>
      </c>
      <c r="AP2" t="s">
        <v>621</v>
      </c>
      <c r="AQ2" t="s">
        <v>622</v>
      </c>
      <c r="AR2" t="s">
        <v>623</v>
      </c>
      <c r="AS2" t="s">
        <v>454</v>
      </c>
      <c r="AT2" t="s">
        <v>455</v>
      </c>
      <c r="AV2" t="s">
        <v>367</v>
      </c>
      <c r="AW2" t="s">
        <v>368</v>
      </c>
      <c r="AX2" t="s">
        <v>354</v>
      </c>
      <c r="AY2" t="s">
        <v>587</v>
      </c>
      <c r="AZ2" t="s">
        <v>581</v>
      </c>
      <c r="BA2" t="s">
        <v>582</v>
      </c>
      <c r="BB2" t="s">
        <v>583</v>
      </c>
      <c r="BC2" t="s">
        <v>584</v>
      </c>
      <c r="BD2" t="s">
        <v>585</v>
      </c>
      <c r="BE2" t="s">
        <v>586</v>
      </c>
      <c r="BF2" t="s">
        <v>588</v>
      </c>
      <c r="BG2" t="s">
        <v>624</v>
      </c>
    </row>
    <row r="3" spans="1:59" x14ac:dyDescent="0.3">
      <c r="A3">
        <v>106380</v>
      </c>
      <c r="B3" t="s">
        <v>731</v>
      </c>
      <c r="C3" t="s">
        <v>727</v>
      </c>
      <c r="D3">
        <f>_xlfn.XLOOKUP(Table121158164170[[#This Row],[ACA Number]],Table122110[NAT Number],Table122110[run 1 points])</f>
        <v>999.99</v>
      </c>
      <c r="E3">
        <f>_xlfn.XLOOKUP(Table121158164170[[#This Row],[ACA Number]],Table122110[NAT Number],Table122110[run 2 points])</f>
        <v>157.09</v>
      </c>
      <c r="F3">
        <f>_xlfn.XLOOKUP(Table121158164170[[#This Row],[ACA Number]],Table12211019[NAT Number],Table12211019[run 2 points])</f>
        <v>170.24</v>
      </c>
      <c r="G3">
        <f>_xlfn.XLOOKUP(Table121158164170[[#This Row],[ACA Number]],Table12211019[NAT Number],Table12211019[run 2 points])</f>
        <v>170.24</v>
      </c>
      <c r="H3">
        <f>_xlfn.XLOOKUP(Table121158164170[[#This Row],[ACA Number]],Table12211019344052647688[NAT Number],Table12211019344052647688[run 1 points])</f>
        <v>999.99</v>
      </c>
      <c r="I3">
        <f>_xlfn.XLOOKUP(Table121158164170[[#This Row],[ACA Number]],Table12211019344052647688[NAT Number],Table12211019344052647688[run 2 points])</f>
        <v>82.18</v>
      </c>
      <c r="J3" cm="1">
        <f t="array" ref="J3">_xlfn.LET(_xlpm.r,Table121158164170[[#This Row],[PM SL1 R1]:[MF SL1 R2]],_xlpm.m,_xlfn.AGGREGATE(15,6,_xlpm.r/(_xlpm.r&lt;&gt;999.99),1),IFERROR(_xlpm.m,999.99))</f>
        <v>82.18</v>
      </c>
      <c r="L3">
        <v>106380</v>
      </c>
      <c r="M3" t="s">
        <v>731</v>
      </c>
      <c r="N3" t="s">
        <v>727</v>
      </c>
      <c r="O3">
        <f>_xlfn.XLOOKUP(Table122159165171[[#This Row],[ACA Number]],Table127163191[NAT Number],Table127163191[run 1 points])</f>
        <v>999.99</v>
      </c>
      <c r="P3">
        <f>_xlfn.XLOOKUP(Table122159165171[[#This Row],[ACA Number]],Table122110193494[NAT Number],Table122110193494[run 1 points])</f>
        <v>82</v>
      </c>
      <c r="Q3" cm="1">
        <f t="array" ref="Q3">_xlfn.LET(_xlpm.r,Table122159165171[[#This Row],[CM SG R1]:[CM SG R2]],_xlpm.m,_xlfn.AGGREGATE(15,6,_xlpm.r/(_xlpm.r&lt;&gt;999.99),1),IFERROR(_xlpm.m,999.99))</f>
        <v>82</v>
      </c>
      <c r="S3">
        <v>106380</v>
      </c>
      <c r="T3" t="s">
        <v>731</v>
      </c>
      <c r="U3" t="s">
        <v>727</v>
      </c>
      <c r="V3">
        <f>_xlfn.XLOOKUP(Table123160166172[[#This Row],[ACA Number]],Table122110193440526476[NAT Number],Table122110193440526476[run 1 points])</f>
        <v>999.99</v>
      </c>
      <c r="W3">
        <f>_xlfn.XLOOKUP(Table123160166172[[#This Row],[ACA Number]],Table122110193440526476[NAT Number],Table122110193440526476[run 2 points])</f>
        <v>999.99</v>
      </c>
      <c r="X3">
        <f>_xlfn.XLOOKUP(Table123160166172[[#This Row],[ACA Number]],Table122110193440526476112[NAT Number],Table122110193440526476112[run 1 points])</f>
        <v>83.15</v>
      </c>
      <c r="Y3">
        <f>_xlfn.XLOOKUP(Table123160166172[[#This Row],[ACA Number]],Table122110193440526476112[NAT Number],Table122110193440526476112[run 2 points])</f>
        <v>54.32</v>
      </c>
      <c r="Z3">
        <f>_xlfn.XLOOKUP(Table123160166172[[#This Row],[ACA Number]],Table122110193440526476112118[NAT Number],Table122110193440526476112118[run 1 points])</f>
        <v>67.56</v>
      </c>
      <c r="AA3">
        <f>_xlfn.XLOOKUP(Table123160166172[[#This Row],[ACA Number]],Table122110193440526476112118[NAT Number],Table122110193440526476112118[run 2 points])</f>
        <v>61.72</v>
      </c>
      <c r="AB3" cm="1">
        <f t="array" ref="AB3">_xlfn.LET(_xlpm.r,Table123160166172[[#This Row],[CM GS1 R1]:[MF GS R2]],_xlpm.m,_xlfn.AGGREGATE(15,6,_xlpm.r/(_xlpm.r&lt;&gt;999.99),1),IFERROR(_xlpm.m,999.99))</f>
        <v>54.32</v>
      </c>
      <c r="AD3">
        <v>106380</v>
      </c>
      <c r="AE3" t="s">
        <v>731</v>
      </c>
      <c r="AF3" t="s">
        <v>727</v>
      </c>
      <c r="AG3">
        <f>_xlfn.XLOOKUP(Table124161167173[[#This Row],[ACA Number]],Table122110[NAT Number],Table122110[TT race points])</f>
        <v>999.99</v>
      </c>
      <c r="AH3">
        <f>_xlfn.XLOOKUP(Table124161167173[[#This Row],[ACA Number]],Table12211019[NAT Number],Table12211019[TT race points])</f>
        <v>130.94999999999999</v>
      </c>
      <c r="AI3">
        <f>_xlfn.XLOOKUP(Table124161167173[[#This Row],[ACA Number]],Table12211019344052647688[NAT Number],Table12211019344052647688[TT race points])</f>
        <v>999.99</v>
      </c>
      <c r="AJ3" cm="1">
        <f t="array" ref="AJ3">_xlfn.LET(_xlpm.r,Table124161167173[[#This Row],[PM SL1]:[MF SL]],_xlpm.m,_xlfn.AGGREGATE(15,6,_xlpm.r/(_xlpm.r&lt;&gt;999.99),1),IFERROR(_xlpm.m,999.99))</f>
        <v>130.94999999999999</v>
      </c>
      <c r="AK3" cm="1">
        <f t="array" ref="AK3">_xlfn.LET(_xlpm.r,Table124161167173[[#This Row],[PM SL1]:[MF SL]],_xlpm.m,_xlfn.AGGREGATE(15,6,_xlpm.r/(_xlpm.r&lt;&gt;999.99),2),IFERROR(_xlpm.m,999.99))</f>
        <v>999.99</v>
      </c>
      <c r="AM3">
        <v>106380</v>
      </c>
      <c r="AN3" t="s">
        <v>731</v>
      </c>
      <c r="AO3" t="s">
        <v>727</v>
      </c>
      <c r="AP3">
        <f>_xlfn.XLOOKUP(Table125162168174[[#This Row],[ACA Number]],Table122110193440526476[NAT Number],Table122110193440526476[TT race points])</f>
        <v>999.99</v>
      </c>
      <c r="AQ3">
        <f>_xlfn.XLOOKUP(Table125162168174[[#This Row],[ACA Number]],Table122110193440526476112[NAT Number],Table122110193440526476112[TT race points])</f>
        <v>63.44</v>
      </c>
      <c r="AR3">
        <f>_xlfn.XLOOKUP(Table125162168174[[#This Row],[ACA Number]],Table122110193440526476112118[NAT Number],Table122110193440526476112118[TT race points])</f>
        <v>64.540000000000006</v>
      </c>
      <c r="AS3" cm="1">
        <f t="array" ref="AS3">_xlfn.LET(_xlpm.r,Table125162168174[[#This Row],[CM GS1]:[MF GS]],_xlpm.m,_xlfn.AGGREGATE(15,6,_xlpm.r/(_xlpm.r&lt;&gt;999.99),1),IFERROR(_xlpm.m,999.99))</f>
        <v>63.44</v>
      </c>
      <c r="AT3" cm="1">
        <f t="array" ref="AT3">_xlfn.LET(_xlpm.r,Table125162168174[[#This Row],[CM GS1]:[MF GS]],_xlpm.m,_xlfn.AGGREGATE(15,6,_xlpm.r/(_xlpm.r&lt;&gt;999.99),2),IFERROR(_xlpm.m,999.99))</f>
        <v>64.540000000000006</v>
      </c>
      <c r="AV3">
        <v>102458</v>
      </c>
      <c r="AW3" t="s">
        <v>737</v>
      </c>
      <c r="AX3" t="s">
        <v>727</v>
      </c>
      <c r="AY3">
        <f>_xlfn.XLOOKUP(Table126163169175[[#This Row],[ACA Number]],Table121158164170[ACA Number],Table121158164170[Best 1 run SL race])</f>
        <v>0</v>
      </c>
      <c r="AZ3">
        <f>_xlfn.XLOOKUP(Table126163169175[[#This Row],[ACA Number]],Table123160166172[ACA Number],Table123160166172[Best 1 Run])</f>
        <v>51.94</v>
      </c>
      <c r="BA3">
        <f>_xlfn.XLOOKUP(Table126163169175[[#This Row],[ACA Number]],Table122159165171[ACA Number],Table122159165171[Best 1 run GS Race])</f>
        <v>111.23</v>
      </c>
      <c r="BB3">
        <f>_xlfn.XLOOKUP(Table126163169175[[#This Row],[ACA Number]],Table124161167173[ACA Number],Table124161167173[Best result],)</f>
        <v>4.3600000000000003</v>
      </c>
      <c r="BC3">
        <f>_xlfn.XLOOKUP(Table126163169175[[#This Row],[ACA Number]],Table124161167173[ACA Number],Table124161167173[2nd Best Result])</f>
        <v>72.16</v>
      </c>
      <c r="BD3">
        <f>_xlfn.XLOOKUP(Table126163169175[[#This Row],[ACA Number]],Table125162168174[ACA Number],Table125162168174[Best result])</f>
        <v>70.69</v>
      </c>
      <c r="BE3">
        <f>_xlfn.XLOOKUP(Table126163169175[[#This Row],[ACA Number]],Table125162168174[ACA Number],Table125162168174[2nd Best Result])</f>
        <v>85.92</v>
      </c>
      <c r="BF3">
        <f t="shared" ref="BF3:BF16" si="0">SUM(AY3:BE3)</f>
        <v>396.3</v>
      </c>
      <c r="BG3">
        <f>_xlfn.RANK.EQ(Table126163169175[[#This Row],[Total Points]],Table126163169175[Total Points],1)</f>
        <v>1</v>
      </c>
    </row>
    <row r="4" spans="1:59" x14ac:dyDescent="0.3">
      <c r="A4">
        <v>102719</v>
      </c>
      <c r="B4" t="s">
        <v>732</v>
      </c>
      <c r="C4" t="s">
        <v>727</v>
      </c>
      <c r="D4">
        <f>_xlfn.XLOOKUP(Table121158164170[[#This Row],[ACA Number]],Table122110[NAT Number],Table122110[run 1 points])</f>
        <v>165.09</v>
      </c>
      <c r="E4">
        <f>_xlfn.XLOOKUP(Table121158164170[[#This Row],[ACA Number]],Table122110[NAT Number],Table122110[run 2 points])</f>
        <v>223.39</v>
      </c>
      <c r="F4">
        <f>_xlfn.XLOOKUP(Table121158164170[[#This Row],[ACA Number]],Table12211019[NAT Number],Table12211019[run 2 points])</f>
        <v>256.33999999999997</v>
      </c>
      <c r="G4">
        <f>_xlfn.XLOOKUP(Table121158164170[[#This Row],[ACA Number]],Table12211019[NAT Number],Table12211019[run 2 points])</f>
        <v>256.33999999999997</v>
      </c>
      <c r="H4">
        <f>_xlfn.XLOOKUP(Table121158164170[[#This Row],[ACA Number]],Table12211019344052647688[NAT Number],Table12211019344052647688[run 1 points])</f>
        <v>113.96</v>
      </c>
      <c r="I4">
        <f>_xlfn.XLOOKUP(Table121158164170[[#This Row],[ACA Number]],Table12211019344052647688[NAT Number],Table12211019344052647688[run 2 points])</f>
        <v>138.6</v>
      </c>
      <c r="J4" cm="1">
        <f t="array" ref="J4">_xlfn.LET(_xlpm.r,Table121158164170[[#This Row],[PM SL1 R1]:[MF SL1 R2]],_xlpm.m,_xlfn.AGGREGATE(15,6,_xlpm.r/(_xlpm.r&lt;&gt;999.99),1),IFERROR(_xlpm.m,999.99))</f>
        <v>113.96</v>
      </c>
      <c r="L4">
        <v>102719</v>
      </c>
      <c r="M4" t="s">
        <v>732</v>
      </c>
      <c r="N4" t="s">
        <v>727</v>
      </c>
      <c r="O4">
        <f>_xlfn.XLOOKUP(Table122159165171[[#This Row],[ACA Number]],Table127163191[NAT Number],Table127163191[run 1 points])</f>
        <v>209.81</v>
      </c>
      <c r="P4">
        <f>_xlfn.XLOOKUP(Table122159165171[[#This Row],[ACA Number]],Table122110193494[NAT Number],Table122110193494[run 1 points])</f>
        <v>253.28</v>
      </c>
      <c r="Q4" cm="1">
        <f t="array" ref="Q4">_xlfn.LET(_xlpm.r,Table122159165171[[#This Row],[CM SG R1]:[CM SG R2]],_xlpm.m,_xlfn.AGGREGATE(15,6,_xlpm.r/(_xlpm.r&lt;&gt;999.99),1),IFERROR(_xlpm.m,999.99))</f>
        <v>209.81</v>
      </c>
      <c r="S4">
        <v>102719</v>
      </c>
      <c r="T4" t="s">
        <v>732</v>
      </c>
      <c r="U4" t="s">
        <v>727</v>
      </c>
      <c r="V4">
        <f>_xlfn.XLOOKUP(Table123160166172[[#This Row],[ACA Number]],Table122110193440526476[NAT Number],Table122110193440526476[run 1 points])</f>
        <v>195.35</v>
      </c>
      <c r="W4">
        <f>_xlfn.XLOOKUP(Table123160166172[[#This Row],[ACA Number]],Table122110193440526476[NAT Number],Table122110193440526476[run 2 points])</f>
        <v>171.62</v>
      </c>
      <c r="X4">
        <f>_xlfn.XLOOKUP(Table123160166172[[#This Row],[ACA Number]],Table122110193440526476112[NAT Number],Table122110193440526476112[run 1 points])</f>
        <v>218.23</v>
      </c>
      <c r="Y4">
        <f>_xlfn.XLOOKUP(Table123160166172[[#This Row],[ACA Number]],Table122110193440526476112[NAT Number],Table122110193440526476112[run 2 points])</f>
        <v>181.88</v>
      </c>
      <c r="Z4">
        <f>_xlfn.XLOOKUP(Table123160166172[[#This Row],[ACA Number]],Table122110193440526476112118[NAT Number],Table122110193440526476112118[run 1 points])</f>
        <v>126.85</v>
      </c>
      <c r="AA4">
        <f>_xlfn.XLOOKUP(Table123160166172[[#This Row],[ACA Number]],Table122110193440526476112118[NAT Number],Table122110193440526476112118[run 2 points])</f>
        <v>95.68</v>
      </c>
      <c r="AB4" cm="1">
        <f t="array" ref="AB4">_xlfn.LET(_xlpm.r,Table123160166172[[#This Row],[CM GS1 R1]:[MF GS R2]],_xlpm.m,_xlfn.AGGREGATE(15,6,_xlpm.r/(_xlpm.r&lt;&gt;999.99),1),IFERROR(_xlpm.m,999.99))</f>
        <v>95.68</v>
      </c>
      <c r="AD4">
        <v>102719</v>
      </c>
      <c r="AE4" t="s">
        <v>732</v>
      </c>
      <c r="AF4" t="s">
        <v>727</v>
      </c>
      <c r="AG4">
        <f>_xlfn.XLOOKUP(Table124161167173[[#This Row],[ACA Number]],Table122110[NAT Number],Table122110[TT race points])</f>
        <v>181.7</v>
      </c>
      <c r="AH4">
        <f>_xlfn.XLOOKUP(Table124161167173[[#This Row],[ACA Number]],Table12211019[NAT Number],Table12211019[TT race points])</f>
        <v>191.53</v>
      </c>
      <c r="AI4">
        <f>_xlfn.XLOOKUP(Table124161167173[[#This Row],[ACA Number]],Table12211019344052647688[NAT Number],Table12211019344052647688[TT race points])</f>
        <v>114.98</v>
      </c>
      <c r="AJ4" cm="1">
        <f t="array" ref="AJ4">_xlfn.LET(_xlpm.r,Table124161167173[[#This Row],[PM SL1]:[MF SL]],_xlpm.m,_xlfn.AGGREGATE(15,6,_xlpm.r/(_xlpm.r&lt;&gt;999.99),1),IFERROR(_xlpm.m,999.99))</f>
        <v>114.98</v>
      </c>
      <c r="AK4" cm="1">
        <f t="array" ref="AK4">_xlfn.LET(_xlpm.r,Table124161167173[[#This Row],[PM SL1]:[MF SL]],_xlpm.m,_xlfn.AGGREGATE(15,6,_xlpm.r/(_xlpm.r&lt;&gt;999.99),2),IFERROR(_xlpm.m,999.99))</f>
        <v>181.7</v>
      </c>
      <c r="AM4">
        <v>102719</v>
      </c>
      <c r="AN4" t="s">
        <v>732</v>
      </c>
      <c r="AO4" t="s">
        <v>727</v>
      </c>
      <c r="AP4">
        <f>_xlfn.XLOOKUP(Table125162168174[[#This Row],[ACA Number]],Table122110193440526476[NAT Number],Table122110193440526476[TT race points])</f>
        <v>182.05</v>
      </c>
      <c r="AQ4">
        <f>_xlfn.XLOOKUP(Table125162168174[[#This Row],[ACA Number]],Table122110193440526476112[NAT Number],Table122110193440526476112[TT race points])</f>
        <v>194.09</v>
      </c>
      <c r="AR4">
        <f>_xlfn.XLOOKUP(Table125162168174[[#This Row],[ACA Number]],Table122110193440526476112118[NAT Number],Table122110193440526476112118[TT race points])</f>
        <v>110.7</v>
      </c>
      <c r="AS4" cm="1">
        <f t="array" ref="AS4">_xlfn.LET(_xlpm.r,Table125162168174[[#This Row],[CM GS1]:[MF GS]],_xlpm.m,_xlfn.AGGREGATE(15,6,_xlpm.r/(_xlpm.r&lt;&gt;999.99),1),IFERROR(_xlpm.m,999.99))</f>
        <v>110.7</v>
      </c>
      <c r="AT4" cm="1">
        <f t="array" ref="AT4">_xlfn.LET(_xlpm.r,Table125162168174[[#This Row],[CM GS1]:[MF GS]],_xlpm.m,_xlfn.AGGREGATE(15,6,_xlpm.r/(_xlpm.r&lt;&gt;999.99),2),IFERROR(_xlpm.m,999.99))</f>
        <v>182.05</v>
      </c>
      <c r="AV4">
        <v>102722</v>
      </c>
      <c r="AW4" t="s">
        <v>739</v>
      </c>
      <c r="AX4" t="s">
        <v>727</v>
      </c>
      <c r="AY4">
        <f>_xlfn.XLOOKUP(Table126163169175[[#This Row],[ACA Number]],Table121158164170[ACA Number],Table121158164170[Best 1 run SL race])</f>
        <v>82.74</v>
      </c>
      <c r="AZ4">
        <f>_xlfn.XLOOKUP(Table126163169175[[#This Row],[ACA Number]],Table123160166172[ACA Number],Table123160166172[Best 1 Run])</f>
        <v>49.34</v>
      </c>
      <c r="BA4">
        <f>_xlfn.XLOOKUP(Table126163169175[[#This Row],[ACA Number]],Table122159165171[ACA Number],Table122159165171[Best 1 run GS Race])</f>
        <v>118.25</v>
      </c>
      <c r="BB4">
        <f>_xlfn.XLOOKUP(Table126163169175[[#This Row],[ACA Number]],Table124161167173[ACA Number],Table124161167173[Best result],)</f>
        <v>81.06</v>
      </c>
      <c r="BC4">
        <f>_xlfn.XLOOKUP(Table126163169175[[#This Row],[ACA Number]],Table124161167173[ACA Number],Table124161167173[2nd Best Result])</f>
        <v>118.64</v>
      </c>
      <c r="BD4">
        <f>_xlfn.XLOOKUP(Table126163169175[[#This Row],[ACA Number]],Table125162168174[ACA Number],Table125162168174[Best result])</f>
        <v>56.57</v>
      </c>
      <c r="BE4">
        <f>_xlfn.XLOOKUP(Table126163169175[[#This Row],[ACA Number]],Table125162168174[ACA Number],Table125162168174[2nd Best Result])</f>
        <v>89.74</v>
      </c>
      <c r="BF4">
        <f t="shared" si="0"/>
        <v>596.33999999999992</v>
      </c>
      <c r="BG4">
        <f>_xlfn.RANK.EQ(Table126163169175[[#This Row],[Total Points]],Table126163169175[Total Points],1)</f>
        <v>2</v>
      </c>
    </row>
    <row r="5" spans="1:59" x14ac:dyDescent="0.3">
      <c r="A5">
        <v>102725</v>
      </c>
      <c r="B5" t="s">
        <v>733</v>
      </c>
      <c r="C5" t="s">
        <v>727</v>
      </c>
      <c r="D5">
        <f>_xlfn.XLOOKUP(Table121158164170[[#This Row],[ACA Number]],Table122110[NAT Number],Table122110[run 1 points])</f>
        <v>999.99</v>
      </c>
      <c r="E5">
        <f>_xlfn.XLOOKUP(Table121158164170[[#This Row],[ACA Number]],Table122110[NAT Number],Table122110[run 2 points])</f>
        <v>185.59</v>
      </c>
      <c r="F5">
        <f>_xlfn.XLOOKUP(Table121158164170[[#This Row],[ACA Number]],Table12211019[NAT Number],Table12211019[run 2 points])</f>
        <v>181.52</v>
      </c>
      <c r="G5">
        <f>_xlfn.XLOOKUP(Table121158164170[[#This Row],[ACA Number]],Table12211019[NAT Number],Table12211019[run 2 points])</f>
        <v>181.52</v>
      </c>
      <c r="H5">
        <f>_xlfn.XLOOKUP(Table121158164170[[#This Row],[ACA Number]],Table12211019344052647688[NAT Number],Table12211019344052647688[run 1 points])</f>
        <v>85.47</v>
      </c>
      <c r="I5">
        <f>_xlfn.XLOOKUP(Table121158164170[[#This Row],[ACA Number]],Table12211019344052647688[NAT Number],Table12211019344052647688[run 2 points])</f>
        <v>110.76</v>
      </c>
      <c r="J5" cm="1">
        <f t="array" ref="J5">_xlfn.LET(_xlpm.r,Table121158164170[[#This Row],[PM SL1 R1]:[MF SL1 R2]],_xlpm.m,_xlfn.AGGREGATE(15,6,_xlpm.r/(_xlpm.r&lt;&gt;999.99),1),IFERROR(_xlpm.m,999.99))</f>
        <v>85.47</v>
      </c>
      <c r="L5">
        <v>102725</v>
      </c>
      <c r="M5" t="s">
        <v>733</v>
      </c>
      <c r="N5" t="s">
        <v>727</v>
      </c>
      <c r="O5">
        <f>_xlfn.XLOOKUP(Table122159165171[[#This Row],[ACA Number]],Table127163191[NAT Number],Table127163191[run 1 points])</f>
        <v>155.72</v>
      </c>
      <c r="P5">
        <f>_xlfn.XLOOKUP(Table122159165171[[#This Row],[ACA Number]],Table122110193494[NAT Number],Table122110193494[run 1 points])</f>
        <v>173.38</v>
      </c>
      <c r="Q5" cm="1">
        <f t="array" ref="Q5">_xlfn.LET(_xlpm.r,Table122159165171[[#This Row],[CM SG R1]:[CM SG R2]],_xlpm.m,_xlfn.AGGREGATE(15,6,_xlpm.r/(_xlpm.r&lt;&gt;999.99),1),IFERROR(_xlpm.m,999.99))</f>
        <v>155.72</v>
      </c>
      <c r="S5">
        <v>102725</v>
      </c>
      <c r="T5" t="s">
        <v>733</v>
      </c>
      <c r="U5" t="s">
        <v>727</v>
      </c>
      <c r="V5">
        <f>_xlfn.XLOOKUP(Table123160166172[[#This Row],[ACA Number]],Table122110193440526476[NAT Number],Table122110193440526476[run 1 points])</f>
        <v>105.51</v>
      </c>
      <c r="W5">
        <f>_xlfn.XLOOKUP(Table123160166172[[#This Row],[ACA Number]],Table122110193440526476[NAT Number],Table122110193440526476[run 2 points])</f>
        <v>121.03</v>
      </c>
      <c r="X5">
        <f>_xlfn.XLOOKUP(Table123160166172[[#This Row],[ACA Number]],Table122110193440526476112[NAT Number],Table122110193440526476112[run 1 points])</f>
        <v>114.15</v>
      </c>
      <c r="Y5">
        <f>_xlfn.XLOOKUP(Table123160166172[[#This Row],[ACA Number]],Table122110193440526476112[NAT Number],Table122110193440526476112[run 2 points])</f>
        <v>113.99</v>
      </c>
      <c r="Z5">
        <f>_xlfn.XLOOKUP(Table123160166172[[#This Row],[ACA Number]],Table122110193440526476112118[NAT Number],Table122110193440526476112118[run 1 points])</f>
        <v>58.37</v>
      </c>
      <c r="AA5">
        <f>_xlfn.XLOOKUP(Table123160166172[[#This Row],[ACA Number]],Table122110193440526476112118[NAT Number],Table122110193440526476112118[run 2 points])</f>
        <v>50.83</v>
      </c>
      <c r="AB5" cm="1">
        <f t="array" ref="AB5">_xlfn.LET(_xlpm.r,Table123160166172[[#This Row],[CM GS1 R1]:[MF GS R2]],_xlpm.m,_xlfn.AGGREGATE(15,6,_xlpm.r/(_xlpm.r&lt;&gt;999.99),1),IFERROR(_xlpm.m,999.99))</f>
        <v>50.83</v>
      </c>
      <c r="AD5">
        <v>102725</v>
      </c>
      <c r="AE5" t="s">
        <v>733</v>
      </c>
      <c r="AF5" t="s">
        <v>727</v>
      </c>
      <c r="AG5">
        <f>_xlfn.XLOOKUP(Table124161167173[[#This Row],[ACA Number]],Table122110[NAT Number],Table122110[TT race points])</f>
        <v>999.99</v>
      </c>
      <c r="AH5">
        <f>_xlfn.XLOOKUP(Table124161167173[[#This Row],[ACA Number]],Table12211019[NAT Number],Table12211019[TT race points])</f>
        <v>999.99</v>
      </c>
      <c r="AI5">
        <f>_xlfn.XLOOKUP(Table124161167173[[#This Row],[ACA Number]],Table12211019344052647688[NAT Number],Table12211019344052647688[TT race points])</f>
        <v>87.2</v>
      </c>
      <c r="AJ5" cm="1">
        <f t="array" ref="AJ5">_xlfn.LET(_xlpm.r,Table124161167173[[#This Row],[PM SL1]:[MF SL]],_xlpm.m,_xlfn.AGGREGATE(15,6,_xlpm.r/(_xlpm.r&lt;&gt;999.99),1),IFERROR(_xlpm.m,999.99))</f>
        <v>87.2</v>
      </c>
      <c r="AK5" cm="1">
        <f t="array" ref="AK5">_xlfn.LET(_xlpm.r,Table124161167173[[#This Row],[PM SL1]:[MF SL]],_xlpm.m,_xlfn.AGGREGATE(15,6,_xlpm.r/(_xlpm.r&lt;&gt;999.99),2),IFERROR(_xlpm.m,999.99))</f>
        <v>999.99</v>
      </c>
      <c r="AM5">
        <v>102725</v>
      </c>
      <c r="AN5" t="s">
        <v>733</v>
      </c>
      <c r="AO5" t="s">
        <v>727</v>
      </c>
      <c r="AP5">
        <f>_xlfn.XLOOKUP(Table125162168174[[#This Row],[ACA Number]],Table122110193440526476[NAT Number],Table122110193440526476[TT race points])</f>
        <v>112.46</v>
      </c>
      <c r="AQ5">
        <f>_xlfn.XLOOKUP(Table125162168174[[#This Row],[ACA Number]],Table122110193440526476112[NAT Number],Table122110193440526476112[TT race points])</f>
        <v>108.79</v>
      </c>
      <c r="AR5">
        <f>_xlfn.XLOOKUP(Table125162168174[[#This Row],[ACA Number]],Table122110193440526476112118[NAT Number],Table122110193440526476112118[TT race points])</f>
        <v>54.46</v>
      </c>
      <c r="AS5" cm="1">
        <f t="array" ref="AS5">_xlfn.LET(_xlpm.r,Table125162168174[[#This Row],[CM GS1]:[MF GS]],_xlpm.m,_xlfn.AGGREGATE(15,6,_xlpm.r/(_xlpm.r&lt;&gt;999.99),1),IFERROR(_xlpm.m,999.99))</f>
        <v>54.46</v>
      </c>
      <c r="AT5" cm="1">
        <f t="array" ref="AT5">_xlfn.LET(_xlpm.r,Table125162168174[[#This Row],[CM GS1]:[MF GS]],_xlpm.m,_xlfn.AGGREGATE(15,6,_xlpm.r/(_xlpm.r&lt;&gt;999.99),2),IFERROR(_xlpm.m,999.99))</f>
        <v>108.79</v>
      </c>
      <c r="AV5">
        <v>93462</v>
      </c>
      <c r="AW5" t="s">
        <v>736</v>
      </c>
      <c r="AX5" t="s">
        <v>727</v>
      </c>
      <c r="AY5">
        <f>_xlfn.XLOOKUP(Table126163169175[[#This Row],[ACA Number]],Table121158164170[ACA Number],Table121158164170[Best 1 run SL race])</f>
        <v>56.56</v>
      </c>
      <c r="AZ5">
        <f>_xlfn.XLOOKUP(Table126163169175[[#This Row],[ACA Number]],Table123160166172[ACA Number],Table123160166172[Best 1 Run])</f>
        <v>90.27</v>
      </c>
      <c r="BA5">
        <f>_xlfn.XLOOKUP(Table126163169175[[#This Row],[ACA Number]],Table122159165171[ACA Number],Table122159165171[Best 1 run GS Race])</f>
        <v>131.6</v>
      </c>
      <c r="BB5">
        <f>_xlfn.XLOOKUP(Table126163169175[[#This Row],[ACA Number]],Table124161167173[ACA Number],Table124161167173[Best result],)</f>
        <v>103.23</v>
      </c>
      <c r="BC5">
        <f>_xlfn.XLOOKUP(Table126163169175[[#This Row],[ACA Number]],Table124161167173[ACA Number],Table124161167173[2nd Best Result])</f>
        <v>108.12</v>
      </c>
      <c r="BD5">
        <f>_xlfn.XLOOKUP(Table126163169175[[#This Row],[ACA Number]],Table125162168174[ACA Number],Table125162168174[Best result])</f>
        <v>99.99</v>
      </c>
      <c r="BE5">
        <f>_xlfn.XLOOKUP(Table126163169175[[#This Row],[ACA Number]],Table125162168174[ACA Number],Table125162168174[2nd Best Result])</f>
        <v>123.41</v>
      </c>
      <c r="BF5">
        <f t="shared" si="0"/>
        <v>713.18</v>
      </c>
      <c r="BG5">
        <f>_xlfn.RANK.EQ(Table126163169175[[#This Row],[Total Points]],Table126163169175[Total Points],1)</f>
        <v>3</v>
      </c>
    </row>
    <row r="6" spans="1:59" x14ac:dyDescent="0.3">
      <c r="A6">
        <v>117685</v>
      </c>
      <c r="B6" t="s">
        <v>738</v>
      </c>
      <c r="C6" t="s">
        <v>727</v>
      </c>
      <c r="D6">
        <f>_xlfn.XLOOKUP(Table121158164170[[#This Row],[ACA Number]],Table122110[NAT Number],Table122110[run 1 points])</f>
        <v>999.99</v>
      </c>
      <c r="E6">
        <f>_xlfn.XLOOKUP(Table121158164170[[#This Row],[ACA Number]],Table122110[NAT Number],Table122110[run 2 points])</f>
        <v>151.38999999999999</v>
      </c>
      <c r="F6">
        <f>_xlfn.XLOOKUP(Table121158164170[[#This Row],[ACA Number]],Table12211019[NAT Number],Table12211019[run 2 points])</f>
        <v>999.99</v>
      </c>
      <c r="G6">
        <f>_xlfn.XLOOKUP(Table121158164170[[#This Row],[ACA Number]],Table12211019[NAT Number],Table12211019[run 2 points])</f>
        <v>999.99</v>
      </c>
      <c r="H6">
        <f>_xlfn.XLOOKUP(Table121158164170[[#This Row],[ACA Number]],Table12211019344052647688[NAT Number],Table12211019344052647688[run 1 points])</f>
        <v>118.96</v>
      </c>
      <c r="I6">
        <f>_xlfn.XLOOKUP(Table121158164170[[#This Row],[ACA Number]],Table12211019344052647688[NAT Number],Table12211019344052647688[run 2 points])</f>
        <v>112.54</v>
      </c>
      <c r="J6" cm="1">
        <f t="array" ref="J6">_xlfn.LET(_xlpm.r,Table121158164170[[#This Row],[PM SL1 R1]:[MF SL1 R2]],_xlpm.m,_xlfn.AGGREGATE(15,6,_xlpm.r/(_xlpm.r&lt;&gt;999.99),1),IFERROR(_xlpm.m,999.99))</f>
        <v>112.54</v>
      </c>
      <c r="L6">
        <v>117685</v>
      </c>
      <c r="M6" t="s">
        <v>738</v>
      </c>
      <c r="N6" t="s">
        <v>727</v>
      </c>
      <c r="O6">
        <f>_xlfn.XLOOKUP(Table122159165171[[#This Row],[ACA Number]],Table127163191[NAT Number],Table127163191[run 1 points])</f>
        <v>269.75</v>
      </c>
      <c r="P6">
        <f>_xlfn.XLOOKUP(Table122159165171[[#This Row],[ACA Number]],Table122110193494[NAT Number],Table122110193494[run 1 points])</f>
        <v>248.59</v>
      </c>
      <c r="Q6" cm="1">
        <f t="array" ref="Q6">_xlfn.LET(_xlpm.r,Table122159165171[[#This Row],[CM SG R1]:[CM SG R2]],_xlpm.m,_xlfn.AGGREGATE(15,6,_xlpm.r/(_xlpm.r&lt;&gt;999.99),1),IFERROR(_xlpm.m,999.99))</f>
        <v>248.59</v>
      </c>
      <c r="S6">
        <v>117685</v>
      </c>
      <c r="T6" t="s">
        <v>738</v>
      </c>
      <c r="U6" t="s">
        <v>727</v>
      </c>
      <c r="V6">
        <f>_xlfn.XLOOKUP(Table123160166172[[#This Row],[ACA Number]],Table122110193440526476[NAT Number],Table122110193440526476[run 1 points])</f>
        <v>193.82</v>
      </c>
      <c r="W6">
        <f>_xlfn.XLOOKUP(Table123160166172[[#This Row],[ACA Number]],Table122110193440526476[NAT Number],Table122110193440526476[run 2 points])</f>
        <v>233.22</v>
      </c>
      <c r="X6">
        <f>_xlfn.XLOOKUP(Table123160166172[[#This Row],[ACA Number]],Table122110193440526476112[NAT Number],Table122110193440526476112[run 1 points])</f>
        <v>216.06</v>
      </c>
      <c r="Y6">
        <f>_xlfn.XLOOKUP(Table123160166172[[#This Row],[ACA Number]],Table122110193440526476112[NAT Number],Table122110193440526476112[run 2 points])</f>
        <v>191.83</v>
      </c>
      <c r="Z6">
        <f>_xlfn.XLOOKUP(Table123160166172[[#This Row],[ACA Number]],Table122110193440526476112118[NAT Number],Table122110193440526476112118[run 1 points])</f>
        <v>167.53</v>
      </c>
      <c r="AA6">
        <f>_xlfn.XLOOKUP(Table123160166172[[#This Row],[ACA Number]],Table122110193440526476112118[NAT Number],Table122110193440526476112118[run 2 points])</f>
        <v>999.99</v>
      </c>
      <c r="AB6" cm="1">
        <f t="array" ref="AB6">_xlfn.LET(_xlpm.r,Table123160166172[[#This Row],[CM GS1 R1]:[MF GS R2]],_xlpm.m,_xlfn.AGGREGATE(15,6,_xlpm.r/(_xlpm.r&lt;&gt;999.99),1),IFERROR(_xlpm.m,999.99))</f>
        <v>167.53</v>
      </c>
      <c r="AD6">
        <v>117685</v>
      </c>
      <c r="AE6" t="s">
        <v>738</v>
      </c>
      <c r="AF6" t="s">
        <v>727</v>
      </c>
      <c r="AG6">
        <f>_xlfn.XLOOKUP(Table124161167173[[#This Row],[ACA Number]],Table122110[NAT Number],Table122110[TT race points])</f>
        <v>999.99</v>
      </c>
      <c r="AH6">
        <f>_xlfn.XLOOKUP(Table124161167173[[#This Row],[ACA Number]],Table12211019[NAT Number],Table12211019[TT race points])</f>
        <v>999.99</v>
      </c>
      <c r="AI6">
        <f>_xlfn.XLOOKUP(Table124161167173[[#This Row],[ACA Number]],Table12211019344052647688[NAT Number],Table12211019344052647688[TT race points])</f>
        <v>104.41</v>
      </c>
      <c r="AJ6" cm="1">
        <f t="array" ref="AJ6">_xlfn.LET(_xlpm.r,Table124161167173[[#This Row],[PM SL1]:[MF SL]],_xlpm.m,_xlfn.AGGREGATE(15,6,_xlpm.r/(_xlpm.r&lt;&gt;999.99),1),IFERROR(_xlpm.m,999.99))</f>
        <v>104.41</v>
      </c>
      <c r="AK6" cm="1">
        <f t="array" ref="AK6">_xlfn.LET(_xlpm.r,Table124161167173[[#This Row],[PM SL1]:[MF SL]],_xlpm.m,_xlfn.AGGREGATE(15,6,_xlpm.r/(_xlpm.r&lt;&gt;999.99),2),IFERROR(_xlpm.m,999.99))</f>
        <v>999.99</v>
      </c>
      <c r="AM6">
        <v>117685</v>
      </c>
      <c r="AN6" t="s">
        <v>738</v>
      </c>
      <c r="AO6" t="s">
        <v>727</v>
      </c>
      <c r="AP6">
        <f>_xlfn.XLOOKUP(Table125162168174[[#This Row],[ACA Number]],Table122110193440526476[NAT Number],Table122110193440526476[TT race points])</f>
        <v>212.95</v>
      </c>
      <c r="AQ6">
        <f>_xlfn.XLOOKUP(Table125162168174[[#This Row],[ACA Number]],Table122110193440526476112[NAT Number],Table122110193440526476112[TT race points])</f>
        <v>198.05</v>
      </c>
      <c r="AR6">
        <f>_xlfn.XLOOKUP(Table125162168174[[#This Row],[ACA Number]],Table122110193440526476112118[NAT Number],Table122110193440526476112118[TT race points])</f>
        <v>999.99</v>
      </c>
      <c r="AS6" cm="1">
        <f t="array" ref="AS6">_xlfn.LET(_xlpm.r,Table125162168174[[#This Row],[CM GS1]:[MF GS]],_xlpm.m,_xlfn.AGGREGATE(15,6,_xlpm.r/(_xlpm.r&lt;&gt;999.99),1),IFERROR(_xlpm.m,999.99))</f>
        <v>198.05</v>
      </c>
      <c r="AT6" cm="1">
        <f t="array" ref="AT6">_xlfn.LET(_xlpm.r,Table125162168174[[#This Row],[CM GS1]:[MF GS]],_xlpm.m,_xlfn.AGGREGATE(15,6,_xlpm.r/(_xlpm.r&lt;&gt;999.99),2),IFERROR(_xlpm.m,999.99))</f>
        <v>212.95</v>
      </c>
      <c r="AV6">
        <v>102719</v>
      </c>
      <c r="AW6" t="s">
        <v>732</v>
      </c>
      <c r="AX6" t="s">
        <v>727</v>
      </c>
      <c r="AY6">
        <f>_xlfn.XLOOKUP(Table126163169175[[#This Row],[ACA Number]],Table121158164170[ACA Number],Table121158164170[Best 1 run SL race])</f>
        <v>113.96</v>
      </c>
      <c r="AZ6">
        <f>_xlfn.XLOOKUP(Table126163169175[[#This Row],[ACA Number]],Table123160166172[ACA Number],Table123160166172[Best 1 Run])</f>
        <v>95.68</v>
      </c>
      <c r="BA6">
        <f>_xlfn.XLOOKUP(Table126163169175[[#This Row],[ACA Number]],Table122159165171[ACA Number],Table122159165171[Best 1 run GS Race])</f>
        <v>209.81</v>
      </c>
      <c r="BB6">
        <f>_xlfn.XLOOKUP(Table126163169175[[#This Row],[ACA Number]],Table124161167173[ACA Number],Table124161167173[Best result],)</f>
        <v>114.98</v>
      </c>
      <c r="BC6">
        <f>_xlfn.XLOOKUP(Table126163169175[[#This Row],[ACA Number]],Table124161167173[ACA Number],Table124161167173[2nd Best Result])</f>
        <v>181.7</v>
      </c>
      <c r="BD6">
        <f>_xlfn.XLOOKUP(Table126163169175[[#This Row],[ACA Number]],Table125162168174[ACA Number],Table125162168174[Best result])</f>
        <v>110.7</v>
      </c>
      <c r="BE6">
        <f>_xlfn.XLOOKUP(Table126163169175[[#This Row],[ACA Number]],Table125162168174[ACA Number],Table125162168174[2nd Best Result])</f>
        <v>182.05</v>
      </c>
      <c r="BF6">
        <f t="shared" si="0"/>
        <v>1008.8799999999999</v>
      </c>
      <c r="BG6">
        <f>_xlfn.RANK.EQ(Table126163169175[[#This Row],[Total Points]],Table126163169175[Total Points],1)</f>
        <v>4</v>
      </c>
    </row>
    <row r="7" spans="1:59" x14ac:dyDescent="0.3">
      <c r="A7">
        <v>102722</v>
      </c>
      <c r="B7" t="s">
        <v>739</v>
      </c>
      <c r="C7" t="s">
        <v>727</v>
      </c>
      <c r="D7">
        <f>_xlfn.XLOOKUP(Table121158164170[[#This Row],[ACA Number]],Table122110[NAT Number],Table122110[run 1 points])</f>
        <v>999.99</v>
      </c>
      <c r="E7">
        <f>_xlfn.XLOOKUP(Table121158164170[[#This Row],[ACA Number]],Table122110[NAT Number],Table122110[run 2 points])</f>
        <v>141.71</v>
      </c>
      <c r="F7">
        <f>_xlfn.XLOOKUP(Table121158164170[[#This Row],[ACA Number]],Table12211019[NAT Number],Table12211019[run 2 points])</f>
        <v>152.87</v>
      </c>
      <c r="G7">
        <f>_xlfn.XLOOKUP(Table121158164170[[#This Row],[ACA Number]],Table12211019[NAT Number],Table12211019[run 2 points])</f>
        <v>152.87</v>
      </c>
      <c r="H7">
        <f>_xlfn.XLOOKUP(Table121158164170[[#This Row],[ACA Number]],Table12211019344052647688[NAT Number],Table12211019344052647688[run 1 points])</f>
        <v>82.74</v>
      </c>
      <c r="I7">
        <f>_xlfn.XLOOKUP(Table121158164170[[#This Row],[ACA Number]],Table12211019344052647688[NAT Number],Table12211019344052647688[run 2 points])</f>
        <v>101.13</v>
      </c>
      <c r="J7" cm="1">
        <f t="array" ref="J7">_xlfn.LET(_xlpm.r,Table121158164170[[#This Row],[PM SL1 R1]:[MF SL1 R2]],_xlpm.m,_xlfn.AGGREGATE(15,6,_xlpm.r/(_xlpm.r&lt;&gt;999.99),1),IFERROR(_xlpm.m,999.99))</f>
        <v>82.74</v>
      </c>
      <c r="L7">
        <v>102722</v>
      </c>
      <c r="M7" t="s">
        <v>739</v>
      </c>
      <c r="N7" t="s">
        <v>727</v>
      </c>
      <c r="O7">
        <f>_xlfn.XLOOKUP(Table122159165171[[#This Row],[ACA Number]],Table127163191[NAT Number],Table127163191[run 1 points])</f>
        <v>118.25</v>
      </c>
      <c r="P7">
        <f>_xlfn.XLOOKUP(Table122159165171[[#This Row],[ACA Number]],Table122110193494[NAT Number],Table122110193494[run 1 points])</f>
        <v>148.54</v>
      </c>
      <c r="Q7" cm="1">
        <f t="array" ref="Q7">_xlfn.LET(_xlpm.r,Table122159165171[[#This Row],[CM SG R1]:[CM SG R2]],_xlpm.m,_xlfn.AGGREGATE(15,6,_xlpm.r/(_xlpm.r&lt;&gt;999.99),1),IFERROR(_xlpm.m,999.99))</f>
        <v>118.25</v>
      </c>
      <c r="S7">
        <v>102722</v>
      </c>
      <c r="T7" t="s">
        <v>739</v>
      </c>
      <c r="U7" t="s">
        <v>727</v>
      </c>
      <c r="V7">
        <f>_xlfn.XLOOKUP(Table123160166172[[#This Row],[ACA Number]],Table122110193440526476[NAT Number],Table122110193440526476[run 1 points])</f>
        <v>96.91</v>
      </c>
      <c r="W7">
        <f>_xlfn.XLOOKUP(Table123160166172[[#This Row],[ACA Number]],Table122110193440526476[NAT Number],Table122110193440526476[run 2 points])</f>
        <v>93.94</v>
      </c>
      <c r="X7">
        <f>_xlfn.XLOOKUP(Table123160166172[[#This Row],[ACA Number]],Table122110193440526476112[NAT Number],Table122110193440526476112[run 1 points])</f>
        <v>109.41</v>
      </c>
      <c r="Y7">
        <f>_xlfn.XLOOKUP(Table123160166172[[#This Row],[ACA Number]],Table122110193440526476112[NAT Number],Table122110193440526476112[run 2 points])</f>
        <v>80.900000000000006</v>
      </c>
      <c r="Z7">
        <f>_xlfn.XLOOKUP(Table123160166172[[#This Row],[ACA Number]],Table122110193440526476112118[NAT Number],Table122110193440526476112118[run 1 points])</f>
        <v>64.349999999999994</v>
      </c>
      <c r="AA7">
        <f>_xlfn.XLOOKUP(Table123160166172[[#This Row],[ACA Number]],Table122110193440526476112118[NAT Number],Table122110193440526476112118[run 2 points])</f>
        <v>49.34</v>
      </c>
      <c r="AB7" cm="1">
        <f t="array" ref="AB7">_xlfn.LET(_xlpm.r,Table123160166172[[#This Row],[CM GS1 R1]:[MF GS R2]],_xlpm.m,_xlfn.AGGREGATE(15,6,_xlpm.r/(_xlpm.r&lt;&gt;999.99),1),IFERROR(_xlpm.m,999.99))</f>
        <v>49.34</v>
      </c>
      <c r="AD7">
        <v>102722</v>
      </c>
      <c r="AE7" t="s">
        <v>739</v>
      </c>
      <c r="AF7" t="s">
        <v>727</v>
      </c>
      <c r="AG7">
        <f>_xlfn.XLOOKUP(Table124161167173[[#This Row],[ACA Number]],Table122110[NAT Number],Table122110[TT race points])</f>
        <v>999.99</v>
      </c>
      <c r="AH7">
        <f>_xlfn.XLOOKUP(Table124161167173[[#This Row],[ACA Number]],Table12211019[NAT Number],Table12211019[TT race points])</f>
        <v>118.64</v>
      </c>
      <c r="AI7">
        <f>_xlfn.XLOOKUP(Table124161167173[[#This Row],[ACA Number]],Table12211019344052647688[NAT Number],Table12211019344052647688[TT race points])</f>
        <v>81.06</v>
      </c>
      <c r="AJ7" cm="1">
        <f t="array" ref="AJ7">_xlfn.LET(_xlpm.r,Table124161167173[[#This Row],[PM SL1]:[MF SL]],_xlpm.m,_xlfn.AGGREGATE(15,6,_xlpm.r/(_xlpm.r&lt;&gt;999.99),1),IFERROR(_xlpm.m,999.99))</f>
        <v>81.06</v>
      </c>
      <c r="AK7" cm="1">
        <f t="array" ref="AK7">_xlfn.LET(_xlpm.r,Table124161167173[[#This Row],[PM SL1]:[MF SL]],_xlpm.m,_xlfn.AGGREGATE(15,6,_xlpm.r/(_xlpm.r&lt;&gt;999.99),2),IFERROR(_xlpm.m,999.99))</f>
        <v>118.64</v>
      </c>
      <c r="AM7">
        <v>102722</v>
      </c>
      <c r="AN7" t="s">
        <v>739</v>
      </c>
      <c r="AO7" t="s">
        <v>727</v>
      </c>
      <c r="AP7">
        <f>_xlfn.XLOOKUP(Table125162168174[[#This Row],[ACA Number]],Table122110193440526476[NAT Number],Table122110193440526476[TT race points])</f>
        <v>94.37</v>
      </c>
      <c r="AQ7">
        <f>_xlfn.XLOOKUP(Table125162168174[[#This Row],[ACA Number]],Table122110193440526476112[NAT Number],Table122110193440526476112[TT race points])</f>
        <v>89.74</v>
      </c>
      <c r="AR7">
        <f>_xlfn.XLOOKUP(Table125162168174[[#This Row],[ACA Number]],Table122110193440526476112118[NAT Number],Table122110193440526476112118[TT race points])</f>
        <v>56.57</v>
      </c>
      <c r="AS7" cm="1">
        <f t="array" ref="AS7">_xlfn.LET(_xlpm.r,Table125162168174[[#This Row],[CM GS1]:[MF GS]],_xlpm.m,_xlfn.AGGREGATE(15,6,_xlpm.r/(_xlpm.r&lt;&gt;999.99),1),IFERROR(_xlpm.m,999.99))</f>
        <v>56.57</v>
      </c>
      <c r="AT7" cm="1">
        <f t="array" ref="AT7">_xlfn.LET(_xlpm.r,Table125162168174[[#This Row],[CM GS1]:[MF GS]],_xlpm.m,_xlfn.AGGREGATE(15,6,_xlpm.r/(_xlpm.r&lt;&gt;999.99),2),IFERROR(_xlpm.m,999.99))</f>
        <v>89.74</v>
      </c>
      <c r="AV7">
        <v>89651</v>
      </c>
      <c r="AW7" t="s">
        <v>730</v>
      </c>
      <c r="AX7" t="s">
        <v>727</v>
      </c>
      <c r="AY7">
        <f>_xlfn.XLOOKUP(Table126163169175[[#This Row],[ACA Number]],Table121158164170[ACA Number],Table121158164170[Best 1 run SL race])</f>
        <v>11.37</v>
      </c>
      <c r="AZ7">
        <f>_xlfn.XLOOKUP(Table126163169175[[#This Row],[ACA Number]],Table123160166172[ACA Number],Table123160166172[Best 1 Run])</f>
        <v>15.63</v>
      </c>
      <c r="BA7">
        <f>_xlfn.XLOOKUP(Table126163169175[[#This Row],[ACA Number]],Table122159165171[ACA Number],Table122159165171[Best 1 run GS Race])</f>
        <v>68.61</v>
      </c>
      <c r="BB7">
        <f>_xlfn.XLOOKUP(Table126163169175[[#This Row],[ACA Number]],Table124161167173[ACA Number],Table124161167173[Best result],)</f>
        <v>5.25</v>
      </c>
      <c r="BC7">
        <f>_xlfn.XLOOKUP(Table126163169175[[#This Row],[ACA Number]],Table124161167173[ACA Number],Table124161167173[2nd Best Result])</f>
        <v>999.99</v>
      </c>
      <c r="BD7">
        <f>_xlfn.XLOOKUP(Table126163169175[[#This Row],[ACA Number]],Table125162168174[ACA Number],Table125162168174[Best result])</f>
        <v>24.91</v>
      </c>
      <c r="BE7">
        <f>_xlfn.XLOOKUP(Table126163169175[[#This Row],[ACA Number]],Table125162168174[ACA Number],Table125162168174[2nd Best Result])</f>
        <v>42.31</v>
      </c>
      <c r="BF7">
        <f t="shared" si="0"/>
        <v>1168.07</v>
      </c>
      <c r="BG7">
        <f>_xlfn.RANK.EQ(Table126163169175[[#This Row],[Total Points]],Table126163169175[Total Points],1)</f>
        <v>5</v>
      </c>
    </row>
    <row r="8" spans="1:59" x14ac:dyDescent="0.3">
      <c r="A8">
        <v>88776</v>
      </c>
      <c r="B8" t="s">
        <v>726</v>
      </c>
      <c r="C8" t="s">
        <v>727</v>
      </c>
      <c r="D8">
        <f>_xlfn.XLOOKUP(Table121158164170[[#This Row],[ACA Number]],Table122110[NAT Number],Table122110[run 1 points])</f>
        <v>999.99</v>
      </c>
      <c r="E8">
        <f>_xlfn.XLOOKUP(Table121158164170[[#This Row],[ACA Number]],Table122110[NAT Number],Table122110[run 2 points])</f>
        <v>280.56</v>
      </c>
      <c r="F8">
        <f>_xlfn.XLOOKUP(Table121158164170[[#This Row],[ACA Number]],Table12211019[NAT Number],Table12211019[run 2 points])</f>
        <v>223.76</v>
      </c>
      <c r="G8">
        <f>_xlfn.XLOOKUP(Table121158164170[[#This Row],[ACA Number]],Table12211019[NAT Number],Table12211019[run 2 points])</f>
        <v>223.76</v>
      </c>
      <c r="H8">
        <f>_xlfn.XLOOKUP(Table121158164170[[#This Row],[ACA Number]],Table12211019344052647688[NAT Number],Table12211019344052647688[run 1 points])</f>
        <v>178.67</v>
      </c>
      <c r="I8">
        <f>_xlfn.XLOOKUP(Table121158164170[[#This Row],[ACA Number]],Table12211019344052647688[NAT Number],Table12211019344052647688[run 2 points])</f>
        <v>172.36</v>
      </c>
      <c r="J8" cm="1">
        <f t="array" ref="J8">_xlfn.LET(_xlpm.r,Table121158164170[[#This Row],[PM SL1 R1]:[MF SL1 R2]],_xlpm.m,_xlfn.AGGREGATE(15,6,_xlpm.r/(_xlpm.r&lt;&gt;999.99),1),IFERROR(_xlpm.m,999.99))</f>
        <v>172.36</v>
      </c>
      <c r="L8">
        <v>88776</v>
      </c>
      <c r="M8" t="s">
        <v>726</v>
      </c>
      <c r="N8" t="s">
        <v>727</v>
      </c>
      <c r="O8">
        <f>_xlfn.XLOOKUP(Table122159165171[[#This Row],[ACA Number]],Table127163191[NAT Number],Table127163191[run 1 points])</f>
        <v>247.27</v>
      </c>
      <c r="P8">
        <f>_xlfn.XLOOKUP(Table122159165171[[#This Row],[ACA Number]],Table122110193494[NAT Number],Table122110193494[run 1 points])</f>
        <v>238.05</v>
      </c>
      <c r="Q8" cm="1">
        <f t="array" ref="Q8">_xlfn.LET(_xlpm.r,Table122159165171[[#This Row],[CM SG R1]:[CM SG R2]],_xlpm.m,_xlfn.AGGREGATE(15,6,_xlpm.r/(_xlpm.r&lt;&gt;999.99),1),IFERROR(_xlpm.m,999.99))</f>
        <v>238.05</v>
      </c>
      <c r="S8">
        <v>88776</v>
      </c>
      <c r="T8" t="s">
        <v>726</v>
      </c>
      <c r="U8" t="s">
        <v>727</v>
      </c>
      <c r="V8">
        <f>_xlfn.XLOOKUP(Table123160166172[[#This Row],[ACA Number]],Table122110193440526476[NAT Number],Table122110193440526476[run 1 points])</f>
        <v>211.4</v>
      </c>
      <c r="W8">
        <f>_xlfn.XLOOKUP(Table123160166172[[#This Row],[ACA Number]],Table122110193440526476[NAT Number],Table122110193440526476[run 2 points])</f>
        <v>266.27</v>
      </c>
      <c r="X8">
        <f>_xlfn.XLOOKUP(Table123160166172[[#This Row],[ACA Number]],Table122110193440526476112[NAT Number],Table122110193440526476112[run 1 points])</f>
        <v>262.08</v>
      </c>
      <c r="Y8">
        <f>_xlfn.XLOOKUP(Table123160166172[[#This Row],[ACA Number]],Table122110193440526476112[NAT Number],Table122110193440526476112[run 2 points])</f>
        <v>267.94</v>
      </c>
      <c r="Z8">
        <f>_xlfn.XLOOKUP(Table123160166172[[#This Row],[ACA Number]],Table122110193440526476112118[NAT Number],Table122110193440526476112118[run 1 points])</f>
        <v>139.94999999999999</v>
      </c>
      <c r="AA8">
        <f>_xlfn.XLOOKUP(Table123160166172[[#This Row],[ACA Number]],Table122110193440526476112118[NAT Number],Table122110193440526476112118[run 2 points])</f>
        <v>170.01</v>
      </c>
      <c r="AB8" cm="1">
        <f t="array" ref="AB8">_xlfn.LET(_xlpm.r,Table123160166172[[#This Row],[CM GS1 R1]:[MF GS R2]],_xlpm.m,_xlfn.AGGREGATE(15,6,_xlpm.r/(_xlpm.r&lt;&gt;999.99),1),IFERROR(_xlpm.m,999.99))</f>
        <v>139.94999999999999</v>
      </c>
      <c r="AD8">
        <v>88776</v>
      </c>
      <c r="AE8" t="s">
        <v>726</v>
      </c>
      <c r="AF8" t="s">
        <v>727</v>
      </c>
      <c r="AG8">
        <f>_xlfn.XLOOKUP(Table124161167173[[#This Row],[ACA Number]],Table122110[NAT Number],Table122110[TT race points])</f>
        <v>999.99</v>
      </c>
      <c r="AH8">
        <f>_xlfn.XLOOKUP(Table124161167173[[#This Row],[ACA Number]],Table12211019[NAT Number],Table12211019[TT race points])</f>
        <v>999.99</v>
      </c>
      <c r="AI8">
        <f>_xlfn.XLOOKUP(Table124161167173[[#This Row],[ACA Number]],Table12211019344052647688[NAT Number],Table12211019344052647688[TT race points])</f>
        <v>163.38</v>
      </c>
      <c r="AJ8" cm="1">
        <f t="array" ref="AJ8">_xlfn.LET(_xlpm.r,Table124161167173[[#This Row],[PM SL1]:[MF SL]],_xlpm.m,_xlfn.AGGREGATE(15,6,_xlpm.r/(_xlpm.r&lt;&gt;999.99),1),IFERROR(_xlpm.m,999.99))</f>
        <v>163.38</v>
      </c>
      <c r="AK8" cm="1">
        <f t="array" ref="AK8">_xlfn.LET(_xlpm.r,Table124161167173[[#This Row],[PM SL1]:[MF SL]],_xlpm.m,_xlfn.AGGREGATE(15,6,_xlpm.r/(_xlpm.r&lt;&gt;999.99),2),IFERROR(_xlpm.m,999.99))</f>
        <v>999.99</v>
      </c>
      <c r="AM8">
        <v>88776</v>
      </c>
      <c r="AN8" t="s">
        <v>726</v>
      </c>
      <c r="AO8" t="s">
        <v>727</v>
      </c>
      <c r="AP8">
        <f>_xlfn.XLOOKUP(Table125162168174[[#This Row],[ACA Number]],Table122110193440526476[NAT Number],Table122110193440526476[TT race points])</f>
        <v>238.47</v>
      </c>
      <c r="AQ8">
        <f>_xlfn.XLOOKUP(Table125162168174[[#This Row],[ACA Number]],Table122110193440526476112[NAT Number],Table122110193440526476112[TT race points])</f>
        <v>259.08</v>
      </c>
      <c r="AR8">
        <f>_xlfn.XLOOKUP(Table125162168174[[#This Row],[ACA Number]],Table122110193440526476112118[NAT Number],Table122110193440526476112118[TT race points])</f>
        <v>155.53</v>
      </c>
      <c r="AS8" cm="1">
        <f t="array" ref="AS8">_xlfn.LET(_xlpm.r,Table125162168174[[#This Row],[CM GS1]:[MF GS]],_xlpm.m,_xlfn.AGGREGATE(15,6,_xlpm.r/(_xlpm.r&lt;&gt;999.99),1),IFERROR(_xlpm.m,999.99))</f>
        <v>155.53</v>
      </c>
      <c r="AT8" cm="1">
        <f t="array" ref="AT8">_xlfn.LET(_xlpm.r,Table125162168174[[#This Row],[CM GS1]:[MF GS]],_xlpm.m,_xlfn.AGGREGATE(15,6,_xlpm.r/(_xlpm.r&lt;&gt;999.99),2),IFERROR(_xlpm.m,999.99))</f>
        <v>238.47</v>
      </c>
      <c r="AV8">
        <v>89867</v>
      </c>
      <c r="AW8" t="s">
        <v>734</v>
      </c>
      <c r="AX8" t="s">
        <v>727</v>
      </c>
      <c r="AY8">
        <f>_xlfn.XLOOKUP(Table126163169175[[#This Row],[ACA Number]],Table121158164170[ACA Number],Table121158164170[Best 1 run SL race])</f>
        <v>38.200000000000003</v>
      </c>
      <c r="AZ8">
        <f>_xlfn.XLOOKUP(Table126163169175[[#This Row],[ACA Number]],Table123160166172[ACA Number],Table123160166172[Best 1 Run])</f>
        <v>16.87</v>
      </c>
      <c r="BA8">
        <f>_xlfn.XLOOKUP(Table126163169175[[#This Row],[ACA Number]],Table122159165171[ACA Number],Table122159165171[Best 1 run GS Race])</f>
        <v>94.42</v>
      </c>
      <c r="BB8">
        <f>_xlfn.XLOOKUP(Table126163169175[[#This Row],[ACA Number]],Table124161167173[ACA Number],Table124161167173[Best result],)</f>
        <v>127.53</v>
      </c>
      <c r="BC8">
        <f>_xlfn.XLOOKUP(Table126163169175[[#This Row],[ACA Number]],Table124161167173[ACA Number],Table124161167173[2nd Best Result])</f>
        <v>999.99</v>
      </c>
      <c r="BD8">
        <f>_xlfn.XLOOKUP(Table126163169175[[#This Row],[ACA Number]],Table125162168174[ACA Number],Table125162168174[Best result])</f>
        <v>24.69</v>
      </c>
      <c r="BE8">
        <f>_xlfn.XLOOKUP(Table126163169175[[#This Row],[ACA Number]],Table125162168174[ACA Number],Table125162168174[2nd Best Result])</f>
        <v>74.27</v>
      </c>
      <c r="BF8">
        <f t="shared" si="0"/>
        <v>1375.97</v>
      </c>
      <c r="BG8">
        <f>_xlfn.RANK.EQ(Table126163169175[[#This Row],[Total Points]],Table126163169175[Total Points],1)</f>
        <v>6</v>
      </c>
    </row>
    <row r="9" spans="1:59" x14ac:dyDescent="0.3">
      <c r="A9">
        <v>89867</v>
      </c>
      <c r="B9" t="s">
        <v>734</v>
      </c>
      <c r="C9" t="s">
        <v>727</v>
      </c>
      <c r="D9">
        <f>_xlfn.XLOOKUP(Table121158164170[[#This Row],[ACA Number]],Table122110[NAT Number],Table122110[run 1 points])</f>
        <v>120.16</v>
      </c>
      <c r="E9">
        <f>_xlfn.XLOOKUP(Table121158164170[[#This Row],[ACA Number]],Table122110[NAT Number],Table122110[run 2 points])</f>
        <v>158.04</v>
      </c>
      <c r="F9">
        <f>_xlfn.XLOOKUP(Table121158164170[[#This Row],[ACA Number]],Table12211019[NAT Number],Table12211019[run 2 points])</f>
        <v>999.99</v>
      </c>
      <c r="G9">
        <f>_xlfn.XLOOKUP(Table121158164170[[#This Row],[ACA Number]],Table12211019[NAT Number],Table12211019[run 2 points])</f>
        <v>999.99</v>
      </c>
      <c r="H9">
        <f>_xlfn.XLOOKUP(Table121158164170[[#This Row],[ACA Number]],Table12211019344052647688[NAT Number],Table12211019344052647688[run 1 points])</f>
        <v>999.99</v>
      </c>
      <c r="I9">
        <f>_xlfn.XLOOKUP(Table121158164170[[#This Row],[ACA Number]],Table12211019344052647688[NAT Number],Table12211019344052647688[run 2 points])</f>
        <v>38.200000000000003</v>
      </c>
      <c r="J9" cm="1">
        <f t="array" ref="J9">_xlfn.LET(_xlpm.r,Table121158164170[[#This Row],[PM SL1 R1]:[MF SL1 R2]],_xlpm.m,_xlfn.AGGREGATE(15,6,_xlpm.r/(_xlpm.r&lt;&gt;999.99),1),IFERROR(_xlpm.m,999.99))</f>
        <v>38.200000000000003</v>
      </c>
      <c r="L9">
        <v>89867</v>
      </c>
      <c r="M9" t="s">
        <v>734</v>
      </c>
      <c r="N9" t="s">
        <v>727</v>
      </c>
      <c r="O9">
        <f>_xlfn.XLOOKUP(Table122159165171[[#This Row],[ACA Number]],Table127163191[NAT Number],Table127163191[run 1 points])</f>
        <v>119.19</v>
      </c>
      <c r="P9">
        <f>_xlfn.XLOOKUP(Table122159165171[[#This Row],[ACA Number]],Table122110193494[NAT Number],Table122110193494[run 1 points])</f>
        <v>94.42</v>
      </c>
      <c r="Q9" cm="1">
        <f t="array" ref="Q9">_xlfn.LET(_xlpm.r,Table122159165171[[#This Row],[CM SG R1]:[CM SG R2]],_xlpm.m,_xlfn.AGGREGATE(15,6,_xlpm.r/(_xlpm.r&lt;&gt;999.99),1),IFERROR(_xlpm.m,999.99))</f>
        <v>94.42</v>
      </c>
      <c r="S9">
        <v>89867</v>
      </c>
      <c r="T9" t="s">
        <v>734</v>
      </c>
      <c r="U9" t="s">
        <v>727</v>
      </c>
      <c r="V9">
        <f>_xlfn.XLOOKUP(Table123160166172[[#This Row],[ACA Number]],Table122110193440526476[NAT Number],Table122110193440526476[run 1 points])</f>
        <v>70.91</v>
      </c>
      <c r="W9">
        <f>_xlfn.XLOOKUP(Table123160166172[[#This Row],[ACA Number]],Table122110193440526476[NAT Number],Table122110193440526476[run 2 points])</f>
        <v>92.67</v>
      </c>
      <c r="X9">
        <f>_xlfn.XLOOKUP(Table123160166172[[#This Row],[ACA Number]],Table122110193440526476112[NAT Number],Table122110193440526476112[run 1 points])</f>
        <v>80.78</v>
      </c>
      <c r="Y9">
        <f>_xlfn.XLOOKUP(Table123160166172[[#This Row],[ACA Number]],Table122110193440526476112[NAT Number],Table122110193440526476112[run 2 points])</f>
        <v>78.03</v>
      </c>
      <c r="Z9">
        <f>_xlfn.XLOOKUP(Table123160166172[[#This Row],[ACA Number]],Table122110193440526476112118[NAT Number],Table122110193440526476112118[run 1 points])</f>
        <v>33.090000000000003</v>
      </c>
      <c r="AA9">
        <f>_xlfn.XLOOKUP(Table123160166172[[#This Row],[ACA Number]],Table122110193440526476112118[NAT Number],Table122110193440526476112118[run 2 points])</f>
        <v>16.87</v>
      </c>
      <c r="AB9" cm="1">
        <f t="array" ref="AB9">_xlfn.LET(_xlpm.r,Table123160166172[[#This Row],[CM GS1 R1]:[MF GS R2]],_xlpm.m,_xlfn.AGGREGATE(15,6,_xlpm.r/(_xlpm.r&lt;&gt;999.99),1),IFERROR(_xlpm.m,999.99))</f>
        <v>16.87</v>
      </c>
      <c r="AD9">
        <v>89867</v>
      </c>
      <c r="AE9" t="s">
        <v>734</v>
      </c>
      <c r="AF9" t="s">
        <v>727</v>
      </c>
      <c r="AG9">
        <f>_xlfn.XLOOKUP(Table124161167173[[#This Row],[ACA Number]],Table122110[NAT Number],Table122110[TT race points])</f>
        <v>127.53</v>
      </c>
      <c r="AH9">
        <f>_xlfn.XLOOKUP(Table124161167173[[#This Row],[ACA Number]],Table12211019[NAT Number],Table12211019[TT race points])</f>
        <v>999.99</v>
      </c>
      <c r="AI9">
        <f>_xlfn.XLOOKUP(Table124161167173[[#This Row],[ACA Number]],Table12211019344052647688[NAT Number],Table12211019344052647688[TT race points])</f>
        <v>999.99</v>
      </c>
      <c r="AJ9" cm="1">
        <f t="array" ref="AJ9">_xlfn.LET(_xlpm.r,Table124161167173[[#This Row],[PM SL1]:[MF SL]],_xlpm.m,_xlfn.AGGREGATE(15,6,_xlpm.r/(_xlpm.r&lt;&gt;999.99),1),IFERROR(_xlpm.m,999.99))</f>
        <v>127.53</v>
      </c>
      <c r="AK9" cm="1">
        <f t="array" ref="AK9">_xlfn.LET(_xlpm.r,Table124161167173[[#This Row],[PM SL1]:[MF SL]],_xlpm.m,_xlfn.AGGREGATE(15,6,_xlpm.r/(_xlpm.r&lt;&gt;999.99),2),IFERROR(_xlpm.m,999.99))</f>
        <v>999.99</v>
      </c>
      <c r="AM9">
        <v>89867</v>
      </c>
      <c r="AN9" t="s">
        <v>734</v>
      </c>
      <c r="AO9" t="s">
        <v>727</v>
      </c>
      <c r="AP9">
        <f>_xlfn.XLOOKUP(Table125162168174[[#This Row],[ACA Number]],Table122110193440526476[NAT Number],Table122110193440526476[TT race points])</f>
        <v>81.099999999999994</v>
      </c>
      <c r="AQ9">
        <f>_xlfn.XLOOKUP(Table125162168174[[#This Row],[ACA Number]],Table122110193440526476112[NAT Number],Table122110193440526476112[TT race points])</f>
        <v>74.27</v>
      </c>
      <c r="AR9">
        <f>_xlfn.XLOOKUP(Table125162168174[[#This Row],[ACA Number]],Table122110193440526476112118[NAT Number],Table122110193440526476112118[TT race points])</f>
        <v>24.69</v>
      </c>
      <c r="AS9" cm="1">
        <f t="array" ref="AS9">_xlfn.LET(_xlpm.r,Table125162168174[[#This Row],[CM GS1]:[MF GS]],_xlpm.m,_xlfn.AGGREGATE(15,6,_xlpm.r/(_xlpm.r&lt;&gt;999.99),1),IFERROR(_xlpm.m,999.99))</f>
        <v>24.69</v>
      </c>
      <c r="AT9" cm="1">
        <f t="array" ref="AT9">_xlfn.LET(_xlpm.r,Table125162168174[[#This Row],[CM GS1]:[MF GS]],_xlpm.m,_xlfn.AGGREGATE(15,6,_xlpm.r/(_xlpm.r&lt;&gt;999.99),2),IFERROR(_xlpm.m,999.99))</f>
        <v>74.27</v>
      </c>
      <c r="AV9">
        <v>88784</v>
      </c>
      <c r="AW9" t="s">
        <v>735</v>
      </c>
      <c r="AX9" t="s">
        <v>727</v>
      </c>
      <c r="AY9">
        <f>_xlfn.XLOOKUP(Table126163169175[[#This Row],[ACA Number]],Table121158164170[ACA Number],Table121158164170[Best 1 run SL race])</f>
        <v>41.22</v>
      </c>
      <c r="AZ9">
        <f>_xlfn.XLOOKUP(Table126163169175[[#This Row],[ACA Number]],Table123160166172[ACA Number],Table123160166172[Best 1 Run])</f>
        <v>54.89</v>
      </c>
      <c r="BA9">
        <f>_xlfn.XLOOKUP(Table126163169175[[#This Row],[ACA Number]],Table122159165171[ACA Number],Table122159165171[Best 1 run GS Race])</f>
        <v>135.88999999999999</v>
      </c>
      <c r="BB9">
        <f>_xlfn.XLOOKUP(Table126163169175[[#This Row],[ACA Number]],Table124161167173[ACA Number],Table124161167173[Best result],)</f>
        <v>71.8</v>
      </c>
      <c r="BC9">
        <f>_xlfn.XLOOKUP(Table126163169175[[#This Row],[ACA Number]],Table124161167173[ACA Number],Table124161167173[2nd Best Result])</f>
        <v>999.99</v>
      </c>
      <c r="BD9">
        <f>_xlfn.XLOOKUP(Table126163169175[[#This Row],[ACA Number]],Table125162168174[ACA Number],Table125162168174[Best result])</f>
        <v>58.67</v>
      </c>
      <c r="BE9">
        <f>_xlfn.XLOOKUP(Table126163169175[[#This Row],[ACA Number]],Table125162168174[ACA Number],Table125162168174[2nd Best Result])</f>
        <v>82.3</v>
      </c>
      <c r="BF9">
        <f t="shared" si="0"/>
        <v>1444.76</v>
      </c>
      <c r="BG9">
        <f>_xlfn.RANK.EQ(Table126163169175[[#This Row],[Total Points]],Table126163169175[Total Points],1)</f>
        <v>7</v>
      </c>
    </row>
    <row r="10" spans="1:59" x14ac:dyDescent="0.3">
      <c r="A10">
        <v>93749</v>
      </c>
      <c r="B10" t="s">
        <v>728</v>
      </c>
      <c r="C10" t="s">
        <v>727</v>
      </c>
      <c r="D10">
        <f>_xlfn.XLOOKUP(Table121158164170[[#This Row],[ACA Number]],Table122110[NAT Number],Table122110[run 1 points])</f>
        <v>97.97</v>
      </c>
      <c r="E10">
        <f>_xlfn.XLOOKUP(Table121158164170[[#This Row],[ACA Number]],Table122110[NAT Number],Table122110[run 2 points])</f>
        <v>141.52000000000001</v>
      </c>
      <c r="F10">
        <f>_xlfn.XLOOKUP(Table121158164170[[#This Row],[ACA Number]],Table12211019[NAT Number],Table12211019[run 2 points])</f>
        <v>999.99</v>
      </c>
      <c r="G10">
        <f>_xlfn.XLOOKUP(Table121158164170[[#This Row],[ACA Number]],Table12211019[NAT Number],Table12211019[run 2 points])</f>
        <v>999.99</v>
      </c>
      <c r="H10">
        <f>_xlfn.XLOOKUP(Table121158164170[[#This Row],[ACA Number]],Table12211019344052647688[NAT Number],Table12211019344052647688[run 1 points])</f>
        <v>68.040000000000006</v>
      </c>
      <c r="I10">
        <f>_xlfn.XLOOKUP(Table121158164170[[#This Row],[ACA Number]],Table12211019344052647688[NAT Number],Table12211019344052647688[run 2 points])</f>
        <v>999.99</v>
      </c>
      <c r="J10" cm="1">
        <f t="array" ref="J10">_xlfn.LET(_xlpm.r,Table121158164170[[#This Row],[PM SL1 R1]:[MF SL1 R2]],_xlpm.m,_xlfn.AGGREGATE(15,6,_xlpm.r/(_xlpm.r&lt;&gt;999.99),1),IFERROR(_xlpm.m,999.99))</f>
        <v>68.040000000000006</v>
      </c>
      <c r="L10">
        <v>93749</v>
      </c>
      <c r="M10" t="s">
        <v>728</v>
      </c>
      <c r="N10" t="s">
        <v>727</v>
      </c>
      <c r="O10">
        <f>_xlfn.XLOOKUP(Table122159165171[[#This Row],[ACA Number]],Table127163191[NAT Number],Table127163191[run 1 points])</f>
        <v>72.12</v>
      </c>
      <c r="P10">
        <f>_xlfn.XLOOKUP(Table122159165171[[#This Row],[ACA Number]],Table122110193494[NAT Number],Table122110193494[run 1 points])</f>
        <v>110.82</v>
      </c>
      <c r="Q10" cm="1">
        <f t="array" ref="Q10">_xlfn.LET(_xlpm.r,Table122159165171[[#This Row],[CM SG R1]:[CM SG R2]],_xlpm.m,_xlfn.AGGREGATE(15,6,_xlpm.r/(_xlpm.r&lt;&gt;999.99),1),IFERROR(_xlpm.m,999.99))</f>
        <v>72.12</v>
      </c>
      <c r="S10">
        <v>93749</v>
      </c>
      <c r="T10" t="s">
        <v>728</v>
      </c>
      <c r="U10" t="s">
        <v>727</v>
      </c>
      <c r="V10">
        <f>_xlfn.XLOOKUP(Table123160166172[[#This Row],[ACA Number]],Table122110193440526476[NAT Number],Table122110193440526476[run 1 points])</f>
        <v>68.62</v>
      </c>
      <c r="W10">
        <f>_xlfn.XLOOKUP(Table123160166172[[#This Row],[ACA Number]],Table122110193440526476[NAT Number],Table122110193440526476[run 2 points])</f>
        <v>999.99</v>
      </c>
      <c r="X10">
        <f>_xlfn.XLOOKUP(Table123160166172[[#This Row],[ACA Number]],Table122110193440526476112[NAT Number],Table122110193440526476112[run 1 points])</f>
        <v>88.68</v>
      </c>
      <c r="Y10">
        <f>_xlfn.XLOOKUP(Table123160166172[[#This Row],[ACA Number]],Table122110193440526476112[NAT Number],Table122110193440526476112[run 2 points])</f>
        <v>51.26</v>
      </c>
      <c r="Z10">
        <f>_xlfn.XLOOKUP(Table123160166172[[#This Row],[ACA Number]],Table122110193440526476112118[NAT Number],Table122110193440526476112118[run 1 points])</f>
        <v>999.99</v>
      </c>
      <c r="AA10">
        <f>_xlfn.XLOOKUP(Table123160166172[[#This Row],[ACA Number]],Table122110193440526476112118[NAT Number],Table122110193440526476112118[run 2 points])</f>
        <v>114.05</v>
      </c>
      <c r="AB10" cm="1">
        <f t="array" ref="AB10">_xlfn.LET(_xlpm.r,Table123160166172[[#This Row],[CM GS1 R1]:[MF GS R2]],_xlpm.m,_xlfn.AGGREGATE(15,6,_xlpm.r/(_xlpm.r&lt;&gt;999.99),1),IFERROR(_xlpm.m,999.99))</f>
        <v>51.26</v>
      </c>
      <c r="AD10">
        <v>93749</v>
      </c>
      <c r="AE10" t="s">
        <v>728</v>
      </c>
      <c r="AF10" t="s">
        <v>727</v>
      </c>
      <c r="AG10">
        <f>_xlfn.XLOOKUP(Table124161167173[[#This Row],[ACA Number]],Table122110[NAT Number],Table122110[TT race points])</f>
        <v>108.34</v>
      </c>
      <c r="AH10">
        <f>_xlfn.XLOOKUP(Table124161167173[[#This Row],[ACA Number]],Table12211019[NAT Number],Table12211019[TT race points])</f>
        <v>999.99</v>
      </c>
      <c r="AI10">
        <f>_xlfn.XLOOKUP(Table124161167173[[#This Row],[ACA Number]],Table12211019344052647688[NAT Number],Table12211019344052647688[TT race points])</f>
        <v>999.99</v>
      </c>
      <c r="AJ10" cm="1">
        <f t="array" ref="AJ10">_xlfn.LET(_xlpm.r,Table124161167173[[#This Row],[PM SL1]:[MF SL]],_xlpm.m,_xlfn.AGGREGATE(15,6,_xlpm.r/(_xlpm.r&lt;&gt;999.99),1),IFERROR(_xlpm.m,999.99))</f>
        <v>108.34</v>
      </c>
      <c r="AK10" cm="1">
        <f t="array" ref="AK10">_xlfn.LET(_xlpm.r,Table124161167173[[#This Row],[PM SL1]:[MF SL]],_xlpm.m,_xlfn.AGGREGATE(15,6,_xlpm.r/(_xlpm.r&lt;&gt;999.99),2),IFERROR(_xlpm.m,999.99))</f>
        <v>999.99</v>
      </c>
      <c r="AM10">
        <v>93749</v>
      </c>
      <c r="AN10" t="s">
        <v>728</v>
      </c>
      <c r="AO10" t="s">
        <v>727</v>
      </c>
      <c r="AP10">
        <f>_xlfn.XLOOKUP(Table125162168174[[#This Row],[ACA Number]],Table122110193440526476[NAT Number],Table122110193440526476[TT race points])</f>
        <v>999.99</v>
      </c>
      <c r="AQ10">
        <f>_xlfn.XLOOKUP(Table125162168174[[#This Row],[ACA Number]],Table122110193440526476112[NAT Number],Table122110193440526476112[TT race points])</f>
        <v>64.599999999999994</v>
      </c>
      <c r="AR10">
        <f>_xlfn.XLOOKUP(Table125162168174[[#This Row],[ACA Number]],Table122110193440526476112118[NAT Number],Table122110193440526476112118[TT race points])</f>
        <v>999.99</v>
      </c>
      <c r="AS10" cm="1">
        <f t="array" ref="AS10">_xlfn.LET(_xlpm.r,Table125162168174[[#This Row],[CM GS1]:[MF GS]],_xlpm.m,_xlfn.AGGREGATE(15,6,_xlpm.r/(_xlpm.r&lt;&gt;999.99),1),IFERROR(_xlpm.m,999.99))</f>
        <v>64.599999999999994</v>
      </c>
      <c r="AT10" cm="1">
        <f t="array" ref="AT10">_xlfn.LET(_xlpm.r,Table125162168174[[#This Row],[CM GS1]:[MF GS]],_xlpm.m,_xlfn.AGGREGATE(15,6,_xlpm.r/(_xlpm.r&lt;&gt;999.99),2),IFERROR(_xlpm.m,999.99))</f>
        <v>999.99</v>
      </c>
      <c r="AV10">
        <v>106380</v>
      </c>
      <c r="AW10" t="s">
        <v>731</v>
      </c>
      <c r="AX10" t="s">
        <v>727</v>
      </c>
      <c r="AY10">
        <f>_xlfn.XLOOKUP(Table126163169175[[#This Row],[ACA Number]],Table121158164170[ACA Number],Table121158164170[Best 1 run SL race])</f>
        <v>82.18</v>
      </c>
      <c r="AZ10">
        <f>_xlfn.XLOOKUP(Table126163169175[[#This Row],[ACA Number]],Table123160166172[ACA Number],Table123160166172[Best 1 Run])</f>
        <v>54.32</v>
      </c>
      <c r="BA10">
        <f>_xlfn.XLOOKUP(Table126163169175[[#This Row],[ACA Number]],Table122159165171[ACA Number],Table122159165171[Best 1 run GS Race])</f>
        <v>82</v>
      </c>
      <c r="BB10">
        <f>_xlfn.XLOOKUP(Table126163169175[[#This Row],[ACA Number]],Table124161167173[ACA Number],Table124161167173[Best result],)</f>
        <v>130.94999999999999</v>
      </c>
      <c r="BC10">
        <f>_xlfn.XLOOKUP(Table126163169175[[#This Row],[ACA Number]],Table124161167173[ACA Number],Table124161167173[2nd Best Result])</f>
        <v>999.99</v>
      </c>
      <c r="BD10">
        <f>_xlfn.XLOOKUP(Table126163169175[[#This Row],[ACA Number]],Table125162168174[ACA Number],Table125162168174[Best result])</f>
        <v>63.44</v>
      </c>
      <c r="BE10">
        <f>_xlfn.XLOOKUP(Table126163169175[[#This Row],[ACA Number]],Table125162168174[ACA Number],Table125162168174[2nd Best Result])</f>
        <v>64.540000000000006</v>
      </c>
      <c r="BF10">
        <f t="shared" si="0"/>
        <v>1477.42</v>
      </c>
      <c r="BG10">
        <f>_xlfn.RANK.EQ(Table126163169175[[#This Row],[Total Points]],Table126163169175[Total Points],1)</f>
        <v>8</v>
      </c>
    </row>
    <row r="11" spans="1:59" x14ac:dyDescent="0.3">
      <c r="A11">
        <v>88784</v>
      </c>
      <c r="B11" t="s">
        <v>735</v>
      </c>
      <c r="C11" t="s">
        <v>727</v>
      </c>
      <c r="D11">
        <f>_xlfn.XLOOKUP(Table121158164170[[#This Row],[ACA Number]],Table122110[NAT Number],Table122110[run 1 points])</f>
        <v>73.790000000000006</v>
      </c>
      <c r="E11">
        <f>_xlfn.XLOOKUP(Table121158164170[[#This Row],[ACA Number]],Table122110[NAT Number],Table122110[run 2 points])</f>
        <v>90.99</v>
      </c>
      <c r="F11">
        <f>_xlfn.XLOOKUP(Table121158164170[[#This Row],[ACA Number]],Table12211019[NAT Number],Table12211019[run 2 points])</f>
        <v>999.99</v>
      </c>
      <c r="G11">
        <f>_xlfn.XLOOKUP(Table121158164170[[#This Row],[ACA Number]],Table12211019[NAT Number],Table12211019[run 2 points])</f>
        <v>999.99</v>
      </c>
      <c r="H11">
        <f>_xlfn.XLOOKUP(Table121158164170[[#This Row],[ACA Number]],Table12211019344052647688[NAT Number],Table12211019344052647688[run 1 points])</f>
        <v>41.22</v>
      </c>
      <c r="I11">
        <f>_xlfn.XLOOKUP(Table121158164170[[#This Row],[ACA Number]],Table12211019344052647688[NAT Number],Table12211019344052647688[run 2 points])</f>
        <v>999.99</v>
      </c>
      <c r="J11" cm="1">
        <f t="array" ref="J11">_xlfn.LET(_xlpm.r,Table121158164170[[#This Row],[PM SL1 R1]:[MF SL1 R2]],_xlpm.m,_xlfn.AGGREGATE(15,6,_xlpm.r/(_xlpm.r&lt;&gt;999.99),1),IFERROR(_xlpm.m,999.99))</f>
        <v>41.22</v>
      </c>
      <c r="L11">
        <v>88784</v>
      </c>
      <c r="M11" t="s">
        <v>735</v>
      </c>
      <c r="N11" t="s">
        <v>727</v>
      </c>
      <c r="O11">
        <f>_xlfn.XLOOKUP(Table122159165171[[#This Row],[ACA Number]],Table127163191[NAT Number],Table127163191[run 1 points])</f>
        <v>140.72999999999999</v>
      </c>
      <c r="P11">
        <f>_xlfn.XLOOKUP(Table122159165171[[#This Row],[ACA Number]],Table122110193494[NAT Number],Table122110193494[run 1 points])</f>
        <v>135.88999999999999</v>
      </c>
      <c r="Q11" cm="1">
        <f t="array" ref="Q11">_xlfn.LET(_xlpm.r,Table122159165171[[#This Row],[CM SG R1]:[CM SG R2]],_xlpm.m,_xlfn.AGGREGATE(15,6,_xlpm.r/(_xlpm.r&lt;&gt;999.99),1),IFERROR(_xlpm.m,999.99))</f>
        <v>135.88999999999999</v>
      </c>
      <c r="S11">
        <v>88784</v>
      </c>
      <c r="T11" t="s">
        <v>735</v>
      </c>
      <c r="U11" t="s">
        <v>727</v>
      </c>
      <c r="V11">
        <f>_xlfn.XLOOKUP(Table123160166172[[#This Row],[ACA Number]],Table122110193440526476[NAT Number],Table122110193440526476[run 1 points])</f>
        <v>90.79</v>
      </c>
      <c r="W11">
        <f>_xlfn.XLOOKUP(Table123160166172[[#This Row],[ACA Number]],Table122110193440526476[NAT Number],Table122110193440526476[run 2 points])</f>
        <v>98.81</v>
      </c>
      <c r="X11">
        <f>_xlfn.XLOOKUP(Table123160166172[[#This Row],[ACA Number]],Table122110193440526476112[NAT Number],Table122110193440526476112[run 1 points])</f>
        <v>109.41</v>
      </c>
      <c r="Y11">
        <f>_xlfn.XLOOKUP(Table123160166172[[#This Row],[ACA Number]],Table122110193440526476112[NAT Number],Table122110193440526476112[run 2 points])</f>
        <v>66.17</v>
      </c>
      <c r="Z11">
        <f>_xlfn.XLOOKUP(Table123160166172[[#This Row],[ACA Number]],Table122110193440526476112118[NAT Number],Table122110193440526476112118[run 1 points])</f>
        <v>62.74</v>
      </c>
      <c r="AA11">
        <f>_xlfn.XLOOKUP(Table123160166172[[#This Row],[ACA Number]],Table122110193440526476112118[NAT Number],Table122110193440526476112118[run 2 points])</f>
        <v>54.89</v>
      </c>
      <c r="AB11" cm="1">
        <f t="array" ref="AB11">_xlfn.LET(_xlpm.r,Table123160166172[[#This Row],[CM GS1 R1]:[MF GS R2]],_xlpm.m,_xlfn.AGGREGATE(15,6,_xlpm.r/(_xlpm.r&lt;&gt;999.99),1),IFERROR(_xlpm.m,999.99))</f>
        <v>54.89</v>
      </c>
      <c r="AD11">
        <v>88784</v>
      </c>
      <c r="AE11" t="s">
        <v>735</v>
      </c>
      <c r="AF11" t="s">
        <v>727</v>
      </c>
      <c r="AG11">
        <f>_xlfn.XLOOKUP(Table124161167173[[#This Row],[ACA Number]],Table122110[NAT Number],Table122110[TT race points])</f>
        <v>71.8</v>
      </c>
      <c r="AH11">
        <f>_xlfn.XLOOKUP(Table124161167173[[#This Row],[ACA Number]],Table12211019[NAT Number],Table12211019[TT race points])</f>
        <v>999.99</v>
      </c>
      <c r="AI11">
        <f>_xlfn.XLOOKUP(Table124161167173[[#This Row],[ACA Number]],Table12211019344052647688[NAT Number],Table12211019344052647688[TT race points])</f>
        <v>999.99</v>
      </c>
      <c r="AJ11" cm="1">
        <f t="array" ref="AJ11">_xlfn.LET(_xlpm.r,Table124161167173[[#This Row],[PM SL1]:[MF SL]],_xlpm.m,_xlfn.AGGREGATE(15,6,_xlpm.r/(_xlpm.r&lt;&gt;999.99),1),IFERROR(_xlpm.m,999.99))</f>
        <v>71.8</v>
      </c>
      <c r="AK11" cm="1">
        <f t="array" ref="AK11">_xlfn.LET(_xlpm.r,Table124161167173[[#This Row],[PM SL1]:[MF SL]],_xlpm.m,_xlfn.AGGREGATE(15,6,_xlpm.r/(_xlpm.r&lt;&gt;999.99),2),IFERROR(_xlpm.m,999.99))</f>
        <v>999.99</v>
      </c>
      <c r="AM11">
        <v>88784</v>
      </c>
      <c r="AN11" t="s">
        <v>735</v>
      </c>
      <c r="AO11" t="s">
        <v>727</v>
      </c>
      <c r="AP11">
        <f>_xlfn.XLOOKUP(Table125162168174[[#This Row],[ACA Number]],Table122110193440526476[NAT Number],Table122110193440526476[TT race points])</f>
        <v>93.9</v>
      </c>
      <c r="AQ11">
        <f>_xlfn.XLOOKUP(Table125162168174[[#This Row],[ACA Number]],Table122110193440526476112[NAT Number],Table122110193440526476112[TT race points])</f>
        <v>82.3</v>
      </c>
      <c r="AR11">
        <f>_xlfn.XLOOKUP(Table125162168174[[#This Row],[ACA Number]],Table122110193440526476112118[NAT Number],Table122110193440526476112118[TT race points])</f>
        <v>58.67</v>
      </c>
      <c r="AS11" cm="1">
        <f t="array" ref="AS11">_xlfn.LET(_xlpm.r,Table125162168174[[#This Row],[CM GS1]:[MF GS]],_xlpm.m,_xlfn.AGGREGATE(15,6,_xlpm.r/(_xlpm.r&lt;&gt;999.99),1),IFERROR(_xlpm.m,999.99))</f>
        <v>58.67</v>
      </c>
      <c r="AT11" cm="1">
        <f t="array" ref="AT11">_xlfn.LET(_xlpm.r,Table125162168174[[#This Row],[CM GS1]:[MF GS]],_xlpm.m,_xlfn.AGGREGATE(15,6,_xlpm.r/(_xlpm.r&lt;&gt;999.99),2),IFERROR(_xlpm.m,999.99))</f>
        <v>82.3</v>
      </c>
      <c r="AV11">
        <v>102725</v>
      </c>
      <c r="AW11" t="s">
        <v>733</v>
      </c>
      <c r="AX11" t="s">
        <v>727</v>
      </c>
      <c r="AY11">
        <f>_xlfn.XLOOKUP(Table126163169175[[#This Row],[ACA Number]],Table121158164170[ACA Number],Table121158164170[Best 1 run SL race])</f>
        <v>85.47</v>
      </c>
      <c r="AZ11">
        <f>_xlfn.XLOOKUP(Table126163169175[[#This Row],[ACA Number]],Table123160166172[ACA Number],Table123160166172[Best 1 Run])</f>
        <v>50.83</v>
      </c>
      <c r="BA11">
        <f>_xlfn.XLOOKUP(Table126163169175[[#This Row],[ACA Number]],Table122159165171[ACA Number],Table122159165171[Best 1 run GS Race])</f>
        <v>155.72</v>
      </c>
      <c r="BB11">
        <f>_xlfn.XLOOKUP(Table126163169175[[#This Row],[ACA Number]],Table124161167173[ACA Number],Table124161167173[Best result],)</f>
        <v>87.2</v>
      </c>
      <c r="BC11">
        <f>_xlfn.XLOOKUP(Table126163169175[[#This Row],[ACA Number]],Table124161167173[ACA Number],Table124161167173[2nd Best Result])</f>
        <v>999.99</v>
      </c>
      <c r="BD11">
        <f>_xlfn.XLOOKUP(Table126163169175[[#This Row],[ACA Number]],Table125162168174[ACA Number],Table125162168174[Best result])</f>
        <v>54.46</v>
      </c>
      <c r="BE11">
        <f>_xlfn.XLOOKUP(Table126163169175[[#This Row],[ACA Number]],Table125162168174[ACA Number],Table125162168174[2nd Best Result])</f>
        <v>108.79</v>
      </c>
      <c r="BF11">
        <f t="shared" si="0"/>
        <v>1542.46</v>
      </c>
      <c r="BG11">
        <f>_xlfn.RANK.EQ(Table126163169175[[#This Row],[Total Points]],Table126163169175[Total Points],1)</f>
        <v>9</v>
      </c>
    </row>
    <row r="12" spans="1:59" x14ac:dyDescent="0.3">
      <c r="A12">
        <v>87565</v>
      </c>
      <c r="B12" t="s">
        <v>931</v>
      </c>
      <c r="C12" t="s">
        <v>727</v>
      </c>
      <c r="D12" t="e">
        <f>_xlfn.XLOOKUP(Table121158164170[[#This Row],[ACA Number]],Table122110[NAT Number],Table122110[run 1 points])</f>
        <v>#N/A</v>
      </c>
      <c r="E12" t="e">
        <f>_xlfn.XLOOKUP(Table121158164170[[#This Row],[ACA Number]],Table122110[NAT Number],Table122110[run 2 points])</f>
        <v>#N/A</v>
      </c>
      <c r="F12" t="e">
        <f>_xlfn.XLOOKUP(Table121158164170[[#This Row],[ACA Number]],Table12211019[NAT Number],Table12211019[run 2 points])</f>
        <v>#N/A</v>
      </c>
      <c r="G12" t="e">
        <f>_xlfn.XLOOKUP(Table121158164170[[#This Row],[ACA Number]],Table12211019[NAT Number],Table12211019[run 2 points])</f>
        <v>#N/A</v>
      </c>
      <c r="H12">
        <f>_xlfn.XLOOKUP(Table121158164170[[#This Row],[ACA Number]],Table12211019344052647688[NAT Number],Table12211019344052647688[run 1 points])</f>
        <v>153.66999999999999</v>
      </c>
      <c r="I12">
        <f>_xlfn.XLOOKUP(Table121158164170[[#This Row],[ACA Number]],Table12211019344052647688[NAT Number],Table12211019344052647688[run 2 points])</f>
        <v>165.25</v>
      </c>
      <c r="J12" cm="1">
        <f t="array" ref="J12">_xlfn.LET(_xlpm.r,Table121158164170[[#This Row],[PM SL1 R1]:[MF SL1 R2]],_xlpm.m,_xlfn.AGGREGATE(15,6,_xlpm.r/(_xlpm.r&lt;&gt;999.99),1),IFERROR(_xlpm.m,999.99))</f>
        <v>153.66999999999999</v>
      </c>
      <c r="L12">
        <v>87565</v>
      </c>
      <c r="M12" t="s">
        <v>931</v>
      </c>
      <c r="N12" t="s">
        <v>727</v>
      </c>
      <c r="O12">
        <f>_xlfn.XLOOKUP(Table122159165171[[#This Row],[ACA Number]],Table127163191[NAT Number],Table127163191[run 1 points])</f>
        <v>216.36</v>
      </c>
      <c r="P12">
        <f>_xlfn.XLOOKUP(Table122159165171[[#This Row],[ACA Number]],Table122110193494[NAT Number],Table122110193494[run 1 points])</f>
        <v>177.13</v>
      </c>
      <c r="Q12" cm="1">
        <f t="array" ref="Q12">_xlfn.LET(_xlpm.r,Table122159165171[[#This Row],[CM SG R1]:[CM SG R2]],_xlpm.m,_xlfn.AGGREGATE(15,6,_xlpm.r/(_xlpm.r&lt;&gt;999.99),1),IFERROR(_xlpm.m,999.99))</f>
        <v>177.13</v>
      </c>
      <c r="S12">
        <v>87565</v>
      </c>
      <c r="T12" t="s">
        <v>931</v>
      </c>
      <c r="U12" t="s">
        <v>727</v>
      </c>
      <c r="V12">
        <f>_xlfn.XLOOKUP(Table123160166172[[#This Row],[ACA Number]],Table122110193440526476[NAT Number],Table122110193440526476[run 1 points])</f>
        <v>999.99</v>
      </c>
      <c r="W12">
        <f>_xlfn.XLOOKUP(Table123160166172[[#This Row],[ACA Number]],Table122110193440526476[NAT Number],Table122110193440526476[run 2 points])</f>
        <v>166.02</v>
      </c>
      <c r="X12">
        <f>_xlfn.XLOOKUP(Table123160166172[[#This Row],[ACA Number]],Table122110193440526476112[NAT Number],Table122110193440526476112[run 1 points])</f>
        <v>999.99</v>
      </c>
      <c r="Y12">
        <f>_xlfn.XLOOKUP(Table123160166172[[#This Row],[ACA Number]],Table122110193440526476112[NAT Number],Table122110193440526476112[run 2 points])</f>
        <v>999.99</v>
      </c>
      <c r="Z12">
        <f>_xlfn.XLOOKUP(Table123160166172[[#This Row],[ACA Number]],Table122110193440526476112118[NAT Number],Table122110193440526476112118[run 1 points])</f>
        <v>100.89</v>
      </c>
      <c r="AA12">
        <f>_xlfn.XLOOKUP(Table123160166172[[#This Row],[ACA Number]],Table122110193440526476112118[NAT Number],Table122110193440526476112118[run 2 points])</f>
        <v>999.99</v>
      </c>
      <c r="AB12" cm="1">
        <f t="array" ref="AB12">_xlfn.LET(_xlpm.r,Table123160166172[[#This Row],[CM GS1 R1]:[MF GS R2]],_xlpm.m,_xlfn.AGGREGATE(15,6,_xlpm.r/(_xlpm.r&lt;&gt;999.99),1),IFERROR(_xlpm.m,999.99))</f>
        <v>100.89</v>
      </c>
      <c r="AD12">
        <v>87565</v>
      </c>
      <c r="AE12" t="s">
        <v>931</v>
      </c>
      <c r="AF12" t="s">
        <v>727</v>
      </c>
      <c r="AG12" t="e">
        <f>_xlfn.XLOOKUP(Table124161167173[[#This Row],[ACA Number]],Table122110[NAT Number],Table122110[TT race points])</f>
        <v>#N/A</v>
      </c>
      <c r="AH12" t="e">
        <f>_xlfn.XLOOKUP(Table124161167173[[#This Row],[ACA Number]],Table12211019[NAT Number],Table12211019[TT race points])</f>
        <v>#N/A</v>
      </c>
      <c r="AI12">
        <f>_xlfn.XLOOKUP(Table124161167173[[#This Row],[ACA Number]],Table12211019344052647688[NAT Number],Table12211019344052647688[TT race points])</f>
        <v>147.63999999999999</v>
      </c>
      <c r="AJ12" cm="1">
        <f t="array" ref="AJ12">_xlfn.LET(_xlpm.r,Table124161167173[[#This Row],[PM SL1]:[MF SL]],_xlpm.m,_xlfn.AGGREGATE(15,6,_xlpm.r/(_xlpm.r&lt;&gt;999.99),1),IFERROR(_xlpm.m,999.99))</f>
        <v>147.63999999999999</v>
      </c>
      <c r="AK12" cm="1">
        <f t="array" ref="AK12">_xlfn.LET(_xlpm.r,Table124161167173[[#This Row],[PM SL1]:[MF SL]],_xlpm.m,_xlfn.AGGREGATE(15,6,_xlpm.r/(_xlpm.r&lt;&gt;999.99),2),IFERROR(_xlpm.m,999.99))</f>
        <v>999.99</v>
      </c>
      <c r="AM12">
        <v>87565</v>
      </c>
      <c r="AN12" t="s">
        <v>931</v>
      </c>
      <c r="AO12" t="s">
        <v>727</v>
      </c>
      <c r="AP12">
        <f>_xlfn.XLOOKUP(Table125162168174[[#This Row],[ACA Number]],Table122110193440526476[NAT Number],Table122110193440526476[TT race points])</f>
        <v>999.99</v>
      </c>
      <c r="AQ12">
        <f>_xlfn.XLOOKUP(Table125162168174[[#This Row],[ACA Number]],Table122110193440526476112[NAT Number],Table122110193440526476112[TT race points])</f>
        <v>999.99</v>
      </c>
      <c r="AR12">
        <f>_xlfn.XLOOKUP(Table125162168174[[#This Row],[ACA Number]],Table122110193440526476112118[NAT Number],Table122110193440526476112118[TT race points])</f>
        <v>999.99</v>
      </c>
      <c r="AS12" cm="1">
        <f t="array" ref="AS12">_xlfn.LET(_xlpm.r,Table125162168174[[#This Row],[CM GS1]:[MF GS]],_xlpm.m,_xlfn.AGGREGATE(15,6,_xlpm.r/(_xlpm.r&lt;&gt;999.99),1),IFERROR(_xlpm.m,999.99))</f>
        <v>999.99</v>
      </c>
      <c r="AT12" cm="1">
        <f t="array" ref="AT12">_xlfn.LET(_xlpm.r,Table125162168174[[#This Row],[CM GS1]:[MF GS]],_xlpm.m,_xlfn.AGGREGATE(15,6,_xlpm.r/(_xlpm.r&lt;&gt;999.99),2),IFERROR(_xlpm.m,999.99))</f>
        <v>999.99</v>
      </c>
      <c r="AV12">
        <v>117685</v>
      </c>
      <c r="AW12" t="s">
        <v>738</v>
      </c>
      <c r="AX12" t="s">
        <v>727</v>
      </c>
      <c r="AY12">
        <f>_xlfn.XLOOKUP(Table126163169175[[#This Row],[ACA Number]],Table121158164170[ACA Number],Table121158164170[Best 1 run SL race])</f>
        <v>112.54</v>
      </c>
      <c r="AZ12">
        <f>_xlfn.XLOOKUP(Table126163169175[[#This Row],[ACA Number]],Table123160166172[ACA Number],Table123160166172[Best 1 Run])</f>
        <v>167.53</v>
      </c>
      <c r="BA12">
        <f>_xlfn.XLOOKUP(Table126163169175[[#This Row],[ACA Number]],Table122159165171[ACA Number],Table122159165171[Best 1 run GS Race])</f>
        <v>248.59</v>
      </c>
      <c r="BB12">
        <f>_xlfn.XLOOKUP(Table126163169175[[#This Row],[ACA Number]],Table124161167173[ACA Number],Table124161167173[Best result],)</f>
        <v>104.41</v>
      </c>
      <c r="BC12">
        <f>_xlfn.XLOOKUP(Table126163169175[[#This Row],[ACA Number]],Table124161167173[ACA Number],Table124161167173[2nd Best Result])</f>
        <v>999.99</v>
      </c>
      <c r="BD12">
        <f>_xlfn.XLOOKUP(Table126163169175[[#This Row],[ACA Number]],Table125162168174[ACA Number],Table125162168174[Best result])</f>
        <v>198.05</v>
      </c>
      <c r="BE12">
        <f>_xlfn.XLOOKUP(Table126163169175[[#This Row],[ACA Number]],Table125162168174[ACA Number],Table125162168174[2nd Best Result])</f>
        <v>212.95</v>
      </c>
      <c r="BF12">
        <f t="shared" si="0"/>
        <v>2044.06</v>
      </c>
      <c r="BG12">
        <f>_xlfn.RANK.EQ(Table126163169175[[#This Row],[Total Points]],Table126163169175[Total Points],1)</f>
        <v>10</v>
      </c>
    </row>
    <row r="13" spans="1:59" x14ac:dyDescent="0.3">
      <c r="A13">
        <v>88937</v>
      </c>
      <c r="B13" t="s">
        <v>729</v>
      </c>
      <c r="C13" t="s">
        <v>727</v>
      </c>
      <c r="D13" t="e">
        <f>_xlfn.XLOOKUP(Table121158164170[[#This Row],[ACA Number]],Table122110[NAT Number],Table122110[run 1 points])</f>
        <v>#N/A</v>
      </c>
      <c r="E13" t="e">
        <f>_xlfn.XLOOKUP(Table121158164170[[#This Row],[ACA Number]],Table122110[NAT Number],Table122110[run 2 points])</f>
        <v>#N/A</v>
      </c>
      <c r="F13" t="e">
        <f>_xlfn.XLOOKUP(Table121158164170[[#This Row],[ACA Number]],Table12211019[NAT Number],Table12211019[run 2 points])</f>
        <v>#N/A</v>
      </c>
      <c r="G13" t="e">
        <f>_xlfn.XLOOKUP(Table121158164170[[#This Row],[ACA Number]],Table12211019[NAT Number],Table12211019[run 2 points])</f>
        <v>#N/A</v>
      </c>
      <c r="H13">
        <f>_xlfn.XLOOKUP(Table121158164170[[#This Row],[ACA Number]],Table12211019344052647688[NAT Number],Table12211019344052647688[run 1 points])</f>
        <v>0.61</v>
      </c>
      <c r="I13">
        <f>_xlfn.XLOOKUP(Table121158164170[[#This Row],[ACA Number]],Table12211019344052647688[NAT Number],Table12211019344052647688[run 2 points])</f>
        <v>18.95</v>
      </c>
      <c r="J13" cm="1">
        <f t="array" ref="J13">_xlfn.LET(_xlpm.r,Table121158164170[[#This Row],[PM SL1 R1]:[MF SL1 R2]],_xlpm.m,_xlfn.AGGREGATE(15,6,_xlpm.r/(_xlpm.r&lt;&gt;999.99),1),IFERROR(_xlpm.m,999.99))</f>
        <v>0.61</v>
      </c>
      <c r="L13">
        <v>88937</v>
      </c>
      <c r="M13" t="s">
        <v>729</v>
      </c>
      <c r="N13" t="s">
        <v>727</v>
      </c>
      <c r="O13" t="e">
        <f>_xlfn.XLOOKUP(Table122159165171[[#This Row],[ACA Number]],Table127163191[NAT Number],Table127163191[run 1 points])</f>
        <v>#N/A</v>
      </c>
      <c r="P13" t="e">
        <f>_xlfn.XLOOKUP(Table122159165171[[#This Row],[ACA Number]],Table122110193494[NAT Number],Table122110193494[run 1 points])</f>
        <v>#N/A</v>
      </c>
      <c r="Q13" cm="1">
        <f t="array" ref="Q13">_xlfn.LET(_xlpm.r,Table122159165171[[#This Row],[CM SG R1]:[CM SG R2]],_xlpm.m,_xlfn.AGGREGATE(15,6,_xlpm.r/(_xlpm.r&lt;&gt;999.99),1),IFERROR(_xlpm.m,999.99))</f>
        <v>999.99</v>
      </c>
      <c r="S13">
        <v>88937</v>
      </c>
      <c r="T13" t="s">
        <v>729</v>
      </c>
      <c r="U13" t="s">
        <v>727</v>
      </c>
      <c r="V13">
        <f>_xlfn.XLOOKUP(Table123160166172[[#This Row],[ACA Number]],Table122110193440526476[NAT Number],Table122110193440526476[run 1 points])</f>
        <v>999.99</v>
      </c>
      <c r="W13">
        <f>_xlfn.XLOOKUP(Table123160166172[[#This Row],[ACA Number]],Table122110193440526476[NAT Number],Table122110193440526476[run 2 points])</f>
        <v>999.99</v>
      </c>
      <c r="X13">
        <f>_xlfn.XLOOKUP(Table123160166172[[#This Row],[ACA Number]],Table122110193440526476112[NAT Number],Table122110193440526476112[run 1 points])</f>
        <v>999.99</v>
      </c>
      <c r="Y13">
        <f>_xlfn.XLOOKUP(Table123160166172[[#This Row],[ACA Number]],Table122110193440526476112[NAT Number],Table122110193440526476112[run 2 points])</f>
        <v>999.99</v>
      </c>
      <c r="Z13">
        <f>_xlfn.XLOOKUP(Table123160166172[[#This Row],[ACA Number]],Table122110193440526476112118[NAT Number],Table122110193440526476112118[run 1 points])</f>
        <v>999.99</v>
      </c>
      <c r="AA13">
        <f>_xlfn.XLOOKUP(Table123160166172[[#This Row],[ACA Number]],Table122110193440526476112118[NAT Number],Table122110193440526476112118[run 2 points])</f>
        <v>999.99</v>
      </c>
      <c r="AB13" cm="1">
        <f t="array" ref="AB13">_xlfn.LET(_xlpm.r,Table123160166172[[#This Row],[CM GS1 R1]:[MF GS R2]],_xlpm.m,_xlfn.AGGREGATE(15,6,_xlpm.r/(_xlpm.r&lt;&gt;999.99),1),IFERROR(_xlpm.m,999.99))</f>
        <v>999.99</v>
      </c>
      <c r="AD13">
        <v>88937</v>
      </c>
      <c r="AE13" t="s">
        <v>729</v>
      </c>
      <c r="AF13" t="s">
        <v>727</v>
      </c>
      <c r="AG13" t="e">
        <f>_xlfn.XLOOKUP(Table124161167173[[#This Row],[ACA Number]],Table122110[NAT Number],Table122110[TT race points])</f>
        <v>#N/A</v>
      </c>
      <c r="AH13" t="e">
        <f>_xlfn.XLOOKUP(Table124161167173[[#This Row],[ACA Number]],Table12211019[NAT Number],Table12211019[TT race points])</f>
        <v>#N/A</v>
      </c>
      <c r="AI13">
        <f>_xlfn.XLOOKUP(Table124161167173[[#This Row],[ACA Number]],Table12211019344052647688[NAT Number],Table12211019344052647688[TT race points])</f>
        <v>0</v>
      </c>
      <c r="AJ13" cm="1">
        <f t="array" ref="AJ13">_xlfn.LET(_xlpm.r,Table124161167173[[#This Row],[PM SL1]:[MF SL]],_xlpm.m,_xlfn.AGGREGATE(15,6,_xlpm.r/(_xlpm.r&lt;&gt;999.99),1),IFERROR(_xlpm.m,999.99))</f>
        <v>0</v>
      </c>
      <c r="AK13" cm="1">
        <f t="array" ref="AK13">_xlfn.LET(_xlpm.r,Table124161167173[[#This Row],[PM SL1]:[MF SL]],_xlpm.m,_xlfn.AGGREGATE(15,6,_xlpm.r/(_xlpm.r&lt;&gt;999.99),2),IFERROR(_xlpm.m,999.99))</f>
        <v>999.99</v>
      </c>
      <c r="AM13">
        <v>88937</v>
      </c>
      <c r="AN13" t="s">
        <v>729</v>
      </c>
      <c r="AO13" t="s">
        <v>727</v>
      </c>
      <c r="AP13">
        <f>_xlfn.XLOOKUP(Table125162168174[[#This Row],[ACA Number]],Table122110193440526476[NAT Number],Table122110193440526476[TT race points])</f>
        <v>999.99</v>
      </c>
      <c r="AQ13">
        <f>_xlfn.XLOOKUP(Table125162168174[[#This Row],[ACA Number]],Table122110193440526476112[NAT Number],Table122110193440526476112[TT race points])</f>
        <v>999.99</v>
      </c>
      <c r="AR13">
        <f>_xlfn.XLOOKUP(Table125162168174[[#This Row],[ACA Number]],Table122110193440526476112118[NAT Number],Table122110193440526476112118[TT race points])</f>
        <v>999.99</v>
      </c>
      <c r="AS13" cm="1">
        <f t="array" ref="AS13">_xlfn.LET(_xlpm.r,Table125162168174[[#This Row],[CM GS1]:[MF GS]],_xlpm.m,_xlfn.AGGREGATE(15,6,_xlpm.r/(_xlpm.r&lt;&gt;999.99),1),IFERROR(_xlpm.m,999.99))</f>
        <v>999.99</v>
      </c>
      <c r="AT13" cm="1">
        <f t="array" ref="AT13">_xlfn.LET(_xlpm.r,Table125162168174[[#This Row],[CM GS1]:[MF GS]],_xlpm.m,_xlfn.AGGREGATE(15,6,_xlpm.r/(_xlpm.r&lt;&gt;999.99),2),IFERROR(_xlpm.m,999.99))</f>
        <v>999.99</v>
      </c>
      <c r="AV13">
        <v>88776</v>
      </c>
      <c r="AW13" t="s">
        <v>726</v>
      </c>
      <c r="AX13" t="s">
        <v>727</v>
      </c>
      <c r="AY13">
        <f>_xlfn.XLOOKUP(Table126163169175[[#This Row],[ACA Number]],Table121158164170[ACA Number],Table121158164170[Best 1 run SL race])</f>
        <v>172.36</v>
      </c>
      <c r="AZ13">
        <f>_xlfn.XLOOKUP(Table126163169175[[#This Row],[ACA Number]],Table123160166172[ACA Number],Table123160166172[Best 1 Run])</f>
        <v>139.94999999999999</v>
      </c>
      <c r="BA13">
        <f>_xlfn.XLOOKUP(Table126163169175[[#This Row],[ACA Number]],Table122159165171[ACA Number],Table122159165171[Best 1 run GS Race])</f>
        <v>238.05</v>
      </c>
      <c r="BB13">
        <f>_xlfn.XLOOKUP(Table126163169175[[#This Row],[ACA Number]],Table124161167173[ACA Number],Table124161167173[Best result],)</f>
        <v>163.38</v>
      </c>
      <c r="BC13">
        <f>_xlfn.XLOOKUP(Table126163169175[[#This Row],[ACA Number]],Table124161167173[ACA Number],Table124161167173[2nd Best Result])</f>
        <v>999.99</v>
      </c>
      <c r="BD13">
        <f>_xlfn.XLOOKUP(Table126163169175[[#This Row],[ACA Number]],Table125162168174[ACA Number],Table125162168174[Best result])</f>
        <v>155.53</v>
      </c>
      <c r="BE13">
        <f>_xlfn.XLOOKUP(Table126163169175[[#This Row],[ACA Number]],Table125162168174[ACA Number],Table125162168174[2nd Best Result])</f>
        <v>238.47</v>
      </c>
      <c r="BF13">
        <f t="shared" si="0"/>
        <v>2107.73</v>
      </c>
      <c r="BG13">
        <f>_xlfn.RANK.EQ(Table126163169175[[#This Row],[Total Points]],Table126163169175[Total Points],1)</f>
        <v>11</v>
      </c>
    </row>
    <row r="14" spans="1:59" x14ac:dyDescent="0.3">
      <c r="A14">
        <v>89651</v>
      </c>
      <c r="B14" t="s">
        <v>730</v>
      </c>
      <c r="C14" t="s">
        <v>727</v>
      </c>
      <c r="D14">
        <f>_xlfn.XLOOKUP(Table121158164170[[#This Row],[ACA Number]],Table122110[NAT Number],Table122110[run 1 points])</f>
        <v>999.99</v>
      </c>
      <c r="E14">
        <f>_xlfn.XLOOKUP(Table121158164170[[#This Row],[ACA Number]],Table122110[NAT Number],Table122110[run 2 points])</f>
        <v>58.32</v>
      </c>
      <c r="F14">
        <f>_xlfn.XLOOKUP(Table121158164170[[#This Row],[ACA Number]],Table12211019[NAT Number],Table12211019[run 2 points])</f>
        <v>80.73</v>
      </c>
      <c r="G14">
        <f>_xlfn.XLOOKUP(Table121158164170[[#This Row],[ACA Number]],Table12211019[NAT Number],Table12211019[run 2 points])</f>
        <v>80.73</v>
      </c>
      <c r="H14">
        <f>_xlfn.XLOOKUP(Table121158164170[[#This Row],[ACA Number]],Table12211019344052647688[NAT Number],Table12211019344052647688[run 1 points])</f>
        <v>11.37</v>
      </c>
      <c r="I14">
        <f>_xlfn.XLOOKUP(Table121158164170[[#This Row],[ACA Number]],Table12211019344052647688[NAT Number],Table12211019344052647688[run 2 points])</f>
        <v>18.95</v>
      </c>
      <c r="J14" cm="1">
        <f t="array" ref="J14">_xlfn.LET(_xlpm.r,Table121158164170[[#This Row],[PM SL1 R1]:[MF SL1 R2]],_xlpm.m,_xlfn.AGGREGATE(15,6,_xlpm.r/(_xlpm.r&lt;&gt;999.99),1),IFERROR(_xlpm.m,999.99))</f>
        <v>11.37</v>
      </c>
      <c r="L14">
        <v>89651</v>
      </c>
      <c r="M14" t="s">
        <v>730</v>
      </c>
      <c r="N14" t="s">
        <v>727</v>
      </c>
      <c r="O14">
        <f>_xlfn.XLOOKUP(Table122159165171[[#This Row],[ACA Number]],Table127163191[NAT Number],Table127163191[run 1 points])</f>
        <v>68.61</v>
      </c>
      <c r="P14">
        <f>_xlfn.XLOOKUP(Table122159165171[[#This Row],[ACA Number]],Table122110193494[NAT Number],Table122110193494[run 1 points])</f>
        <v>84.58</v>
      </c>
      <c r="Q14" cm="1">
        <f t="array" ref="Q14">_xlfn.LET(_xlpm.r,Table122159165171[[#This Row],[CM SG R1]:[CM SG R2]],_xlpm.m,_xlfn.AGGREGATE(15,6,_xlpm.r/(_xlpm.r&lt;&gt;999.99),1),IFERROR(_xlpm.m,999.99))</f>
        <v>68.61</v>
      </c>
      <c r="S14">
        <v>89651</v>
      </c>
      <c r="T14" t="s">
        <v>730</v>
      </c>
      <c r="U14" t="s">
        <v>727</v>
      </c>
      <c r="V14">
        <f>_xlfn.XLOOKUP(Table123160166172[[#This Row],[ACA Number]],Table122110193440526476[NAT Number],Table122110193440526476[run 1 points])</f>
        <v>43.96</v>
      </c>
      <c r="W14">
        <f>_xlfn.XLOOKUP(Table123160166172[[#This Row],[ACA Number]],Table122110193440526476[NAT Number],Table122110193440526476[run 2 points])</f>
        <v>42.63</v>
      </c>
      <c r="X14">
        <f>_xlfn.XLOOKUP(Table123160166172[[#This Row],[ACA Number]],Table122110193440526476112[NAT Number],Table122110193440526476112[run 1 points])</f>
        <v>57.67</v>
      </c>
      <c r="Y14">
        <f>_xlfn.XLOOKUP(Table123160166172[[#This Row],[ACA Number]],Table122110193440526476112[NAT Number],Table122110193440526476112[run 2 points])</f>
        <v>44.75</v>
      </c>
      <c r="Z14">
        <f>_xlfn.XLOOKUP(Table123160166172[[#This Row],[ACA Number]],Table122110193440526476112118[NAT Number],Table122110193440526476112118[run 1 points])</f>
        <v>15.63</v>
      </c>
      <c r="AA14">
        <f>_xlfn.XLOOKUP(Table123160166172[[#This Row],[ACA Number]],Table122110193440526476112118[NAT Number],Table122110193440526476112118[run 2 points])</f>
        <v>33.53</v>
      </c>
      <c r="AB14" cm="1">
        <f t="array" ref="AB14">_xlfn.LET(_xlpm.r,Table123160166172[[#This Row],[CM GS1 R1]:[MF GS R2]],_xlpm.m,_xlfn.AGGREGATE(15,6,_xlpm.r/(_xlpm.r&lt;&gt;999.99),1),IFERROR(_xlpm.m,999.99))</f>
        <v>15.63</v>
      </c>
      <c r="AD14">
        <v>89651</v>
      </c>
      <c r="AE14" t="s">
        <v>730</v>
      </c>
      <c r="AF14" t="s">
        <v>727</v>
      </c>
      <c r="AG14">
        <f>_xlfn.XLOOKUP(Table124161167173[[#This Row],[ACA Number]],Table122110[NAT Number],Table122110[TT race points])</f>
        <v>999.99</v>
      </c>
      <c r="AH14">
        <f>_xlfn.XLOOKUP(Table124161167173[[#This Row],[ACA Number]],Table12211019[NAT Number],Table12211019[TT race points])</f>
        <v>999.99</v>
      </c>
      <c r="AI14">
        <f>_xlfn.XLOOKUP(Table124161167173[[#This Row],[ACA Number]],Table12211019344052647688[NAT Number],Table12211019344052647688[TT race points])</f>
        <v>5.25</v>
      </c>
      <c r="AJ14" cm="1">
        <f t="array" ref="AJ14">_xlfn.LET(_xlpm.r,Table124161167173[[#This Row],[PM SL1]:[MF SL]],_xlpm.m,_xlfn.AGGREGATE(15,6,_xlpm.r/(_xlpm.r&lt;&gt;999.99),1),IFERROR(_xlpm.m,999.99))</f>
        <v>5.25</v>
      </c>
      <c r="AK14" cm="1">
        <f t="array" ref="AK14">_xlfn.LET(_xlpm.r,Table124161167173[[#This Row],[PM SL1]:[MF SL]],_xlpm.m,_xlfn.AGGREGATE(15,6,_xlpm.r/(_xlpm.r&lt;&gt;999.99),2),IFERROR(_xlpm.m,999.99))</f>
        <v>999.99</v>
      </c>
      <c r="AM14">
        <v>89651</v>
      </c>
      <c r="AN14" t="s">
        <v>730</v>
      </c>
      <c r="AO14" t="s">
        <v>727</v>
      </c>
      <c r="AP14">
        <f>_xlfn.XLOOKUP(Table125162168174[[#This Row],[ACA Number]],Table122110193440526476[NAT Number],Table122110193440526476[TT race points])</f>
        <v>42.31</v>
      </c>
      <c r="AQ14">
        <f>_xlfn.XLOOKUP(Table125162168174[[#This Row],[ACA Number]],Table122110193440526476112[NAT Number],Table122110193440526476112[TT race points])</f>
        <v>46.13</v>
      </c>
      <c r="AR14">
        <f>_xlfn.XLOOKUP(Table125162168174[[#This Row],[ACA Number]],Table122110193440526476112118[NAT Number],Table122110193440526476112118[TT race points])</f>
        <v>24.91</v>
      </c>
      <c r="AS14" cm="1">
        <f t="array" ref="AS14">_xlfn.LET(_xlpm.r,Table125162168174[[#This Row],[CM GS1]:[MF GS]],_xlpm.m,_xlfn.AGGREGATE(15,6,_xlpm.r/(_xlpm.r&lt;&gt;999.99),1),IFERROR(_xlpm.m,999.99))</f>
        <v>24.91</v>
      </c>
      <c r="AT14" cm="1">
        <f t="array" ref="AT14">_xlfn.LET(_xlpm.r,Table125162168174[[#This Row],[CM GS1]:[MF GS]],_xlpm.m,_xlfn.AGGREGATE(15,6,_xlpm.r/(_xlpm.r&lt;&gt;999.99),2),IFERROR(_xlpm.m,999.99))</f>
        <v>42.31</v>
      </c>
      <c r="AV14">
        <v>93749</v>
      </c>
      <c r="AW14" t="s">
        <v>728</v>
      </c>
      <c r="AX14" t="s">
        <v>727</v>
      </c>
      <c r="AY14">
        <f>_xlfn.XLOOKUP(Table126163169175[[#This Row],[ACA Number]],Table121158164170[ACA Number],Table121158164170[Best 1 run SL race])</f>
        <v>68.040000000000006</v>
      </c>
      <c r="AZ14">
        <f>_xlfn.XLOOKUP(Table126163169175[[#This Row],[ACA Number]],Table123160166172[ACA Number],Table123160166172[Best 1 Run])</f>
        <v>51.26</v>
      </c>
      <c r="BA14">
        <f>_xlfn.XLOOKUP(Table126163169175[[#This Row],[ACA Number]],Table122159165171[ACA Number],Table122159165171[Best 1 run GS Race])</f>
        <v>72.12</v>
      </c>
      <c r="BB14">
        <f>_xlfn.XLOOKUP(Table126163169175[[#This Row],[ACA Number]],Table124161167173[ACA Number],Table124161167173[Best result],)</f>
        <v>108.34</v>
      </c>
      <c r="BC14">
        <f>_xlfn.XLOOKUP(Table126163169175[[#This Row],[ACA Number]],Table124161167173[ACA Number],Table124161167173[2nd Best Result])</f>
        <v>999.99</v>
      </c>
      <c r="BD14">
        <f>_xlfn.XLOOKUP(Table126163169175[[#This Row],[ACA Number]],Table125162168174[ACA Number],Table125162168174[Best result])</f>
        <v>64.599999999999994</v>
      </c>
      <c r="BE14">
        <f>_xlfn.XLOOKUP(Table126163169175[[#This Row],[ACA Number]],Table125162168174[ACA Number],Table125162168174[2nd Best Result])</f>
        <v>999.99</v>
      </c>
      <c r="BF14">
        <f t="shared" si="0"/>
        <v>2364.34</v>
      </c>
      <c r="BG14">
        <f>_xlfn.RANK.EQ(Table126163169175[[#This Row],[Total Points]],Table126163169175[Total Points],1)</f>
        <v>12</v>
      </c>
    </row>
    <row r="15" spans="1:59" x14ac:dyDescent="0.3">
      <c r="A15">
        <v>93462</v>
      </c>
      <c r="B15" t="s">
        <v>736</v>
      </c>
      <c r="C15" t="s">
        <v>727</v>
      </c>
      <c r="D15">
        <f>_xlfn.XLOOKUP(Table121158164170[[#This Row],[ACA Number]],Table122110[NAT Number],Table122110[run 1 points])</f>
        <v>79.75</v>
      </c>
      <c r="E15">
        <f>_xlfn.XLOOKUP(Table121158164170[[#This Row],[ACA Number]],Table122110[NAT Number],Table122110[run 2 points])</f>
        <v>150.07</v>
      </c>
      <c r="F15">
        <f>_xlfn.XLOOKUP(Table121158164170[[#This Row],[ACA Number]],Table12211019[NAT Number],Table12211019[run 2 points])</f>
        <v>149.47</v>
      </c>
      <c r="G15">
        <f>_xlfn.XLOOKUP(Table121158164170[[#This Row],[ACA Number]],Table12211019[NAT Number],Table12211019[run 2 points])</f>
        <v>149.47</v>
      </c>
      <c r="H15">
        <f>_xlfn.XLOOKUP(Table121158164170[[#This Row],[ACA Number]],Table12211019344052647688[NAT Number],Table12211019344052647688[run 1 points])</f>
        <v>999.99</v>
      </c>
      <c r="I15">
        <f>_xlfn.XLOOKUP(Table121158164170[[#This Row],[ACA Number]],Table12211019344052647688[NAT Number],Table12211019344052647688[run 2 points])</f>
        <v>56.56</v>
      </c>
      <c r="J15" cm="1">
        <f t="array" ref="J15">_xlfn.LET(_xlpm.r,Table121158164170[[#This Row],[PM SL1 R1]:[MF SL1 R2]],_xlpm.m,_xlfn.AGGREGATE(15,6,_xlpm.r/(_xlpm.r&lt;&gt;999.99),1),IFERROR(_xlpm.m,999.99))</f>
        <v>56.56</v>
      </c>
      <c r="L15">
        <v>93462</v>
      </c>
      <c r="M15" t="s">
        <v>736</v>
      </c>
      <c r="N15" t="s">
        <v>727</v>
      </c>
      <c r="O15">
        <f>_xlfn.XLOOKUP(Table122159165171[[#This Row],[ACA Number]],Table127163191[NAT Number],Table127163191[run 1 points])</f>
        <v>131.6</v>
      </c>
      <c r="P15">
        <f>_xlfn.XLOOKUP(Table122159165171[[#This Row],[ACA Number]],Table122110193494[NAT Number],Table122110193494[run 1 points])</f>
        <v>132.85</v>
      </c>
      <c r="Q15" cm="1">
        <f t="array" ref="Q15">_xlfn.LET(_xlpm.r,Table122159165171[[#This Row],[CM SG R1]:[CM SG R2]],_xlpm.m,_xlfn.AGGREGATE(15,6,_xlpm.r/(_xlpm.r&lt;&gt;999.99),1),IFERROR(_xlpm.m,999.99))</f>
        <v>131.6</v>
      </c>
      <c r="S15">
        <v>93462</v>
      </c>
      <c r="T15" t="s">
        <v>736</v>
      </c>
      <c r="U15" t="s">
        <v>727</v>
      </c>
      <c r="V15">
        <f>_xlfn.XLOOKUP(Table123160166172[[#This Row],[ACA Number]],Table122110193440526476[NAT Number],Table122110193440526476[run 1 points])</f>
        <v>124.05</v>
      </c>
      <c r="W15">
        <f>_xlfn.XLOOKUP(Table123160166172[[#This Row],[ACA Number]],Table122110193440526476[NAT Number],Table122110193440526476[run 2 points])</f>
        <v>124.83</v>
      </c>
      <c r="X15">
        <f>_xlfn.XLOOKUP(Table123160166172[[#This Row],[ACA Number]],Table122110193440526476112[NAT Number],Table122110193440526476112[run 1 points])</f>
        <v>120.67</v>
      </c>
      <c r="Y15">
        <f>_xlfn.XLOOKUP(Table123160166172[[#This Row],[ACA Number]],Table122110193440526476112[NAT Number],Table122110193440526476112[run 2 points])</f>
        <v>90.27</v>
      </c>
      <c r="Z15">
        <f>_xlfn.XLOOKUP(Table123160166172[[#This Row],[ACA Number]],Table122110193440526476112118[NAT Number],Table122110193440526476112118[run 1 points])</f>
        <v>999.99</v>
      </c>
      <c r="AA15">
        <f>_xlfn.XLOOKUP(Table123160166172[[#This Row],[ACA Number]],Table122110193440526476112118[NAT Number],Table122110193440526476112118[run 2 points])</f>
        <v>97.6</v>
      </c>
      <c r="AB15" cm="1">
        <f t="array" ref="AB15">_xlfn.LET(_xlpm.r,Table123160166172[[#This Row],[CM GS1 R1]:[MF GS R2]],_xlpm.m,_xlfn.AGGREGATE(15,6,_xlpm.r/(_xlpm.r&lt;&gt;999.99),1),IFERROR(_xlpm.m,999.99))</f>
        <v>90.27</v>
      </c>
      <c r="AD15">
        <v>93462</v>
      </c>
      <c r="AE15" t="s">
        <v>736</v>
      </c>
      <c r="AF15" t="s">
        <v>727</v>
      </c>
      <c r="AG15">
        <f>_xlfn.XLOOKUP(Table124161167173[[#This Row],[ACA Number]],Table122110[NAT Number],Table122110[TT race points])</f>
        <v>103.23</v>
      </c>
      <c r="AH15">
        <f>_xlfn.XLOOKUP(Table124161167173[[#This Row],[ACA Number]],Table12211019[NAT Number],Table12211019[TT race points])</f>
        <v>108.12</v>
      </c>
      <c r="AI15">
        <f>_xlfn.XLOOKUP(Table124161167173[[#This Row],[ACA Number]],Table12211019344052647688[NAT Number],Table12211019344052647688[TT race points])</f>
        <v>999.99</v>
      </c>
      <c r="AJ15" cm="1">
        <f t="array" ref="AJ15">_xlfn.LET(_xlpm.r,Table124161167173[[#This Row],[PM SL1]:[MF SL]],_xlpm.m,_xlfn.AGGREGATE(15,6,_xlpm.r/(_xlpm.r&lt;&gt;999.99),1),IFERROR(_xlpm.m,999.99))</f>
        <v>103.23</v>
      </c>
      <c r="AK15" cm="1">
        <f t="array" ref="AK15">_xlfn.LET(_xlpm.r,Table124161167173[[#This Row],[PM SL1]:[MF SL]],_xlpm.m,_xlfn.AGGREGATE(15,6,_xlpm.r/(_xlpm.r&lt;&gt;999.99),2),IFERROR(_xlpm.m,999.99))</f>
        <v>108.12</v>
      </c>
      <c r="AM15">
        <v>93462</v>
      </c>
      <c r="AN15" t="s">
        <v>736</v>
      </c>
      <c r="AO15" t="s">
        <v>727</v>
      </c>
      <c r="AP15">
        <f>_xlfn.XLOOKUP(Table125162168174[[#This Row],[ACA Number]],Table122110193440526476[NAT Number],Table122110193440526476[TT race points])</f>
        <v>123.41</v>
      </c>
      <c r="AQ15">
        <f>_xlfn.XLOOKUP(Table125162168174[[#This Row],[ACA Number]],Table122110193440526476112[NAT Number],Table122110193440526476112[TT race points])</f>
        <v>99.99</v>
      </c>
      <c r="AR15">
        <f>_xlfn.XLOOKUP(Table125162168174[[#This Row],[ACA Number]],Table122110193440526476112118[NAT Number],Table122110193440526476112118[TT race points])</f>
        <v>999.99</v>
      </c>
      <c r="AS15" cm="1">
        <f t="array" ref="AS15">_xlfn.LET(_xlpm.r,Table125162168174[[#This Row],[CM GS1]:[MF GS]],_xlpm.m,_xlfn.AGGREGATE(15,6,_xlpm.r/(_xlpm.r&lt;&gt;999.99),1),IFERROR(_xlpm.m,999.99))</f>
        <v>99.99</v>
      </c>
      <c r="AT15" cm="1">
        <f t="array" ref="AT15">_xlfn.LET(_xlpm.r,Table125162168174[[#This Row],[CM GS1]:[MF GS]],_xlpm.m,_xlfn.AGGREGATE(15,6,_xlpm.r/(_xlpm.r&lt;&gt;999.99),2),IFERROR(_xlpm.m,999.99))</f>
        <v>123.41</v>
      </c>
      <c r="AV15">
        <v>87565</v>
      </c>
      <c r="AW15" t="s">
        <v>931</v>
      </c>
      <c r="AX15" t="s">
        <v>727</v>
      </c>
      <c r="AY15">
        <f>_xlfn.XLOOKUP(Table126163169175[[#This Row],[ACA Number]],Table121158164170[ACA Number],Table121158164170[Best 1 run SL race])</f>
        <v>153.66999999999999</v>
      </c>
      <c r="AZ15">
        <f>_xlfn.XLOOKUP(Table126163169175[[#This Row],[ACA Number]],Table123160166172[ACA Number],Table123160166172[Best 1 Run])</f>
        <v>100.89</v>
      </c>
      <c r="BA15">
        <f>_xlfn.XLOOKUP(Table126163169175[[#This Row],[ACA Number]],Table122159165171[ACA Number],Table122159165171[Best 1 run GS Race])</f>
        <v>177.13</v>
      </c>
      <c r="BB15">
        <f>_xlfn.XLOOKUP(Table126163169175[[#This Row],[ACA Number]],Table124161167173[ACA Number],Table124161167173[Best result],)</f>
        <v>147.63999999999999</v>
      </c>
      <c r="BC15">
        <f>_xlfn.XLOOKUP(Table126163169175[[#This Row],[ACA Number]],Table124161167173[ACA Number],Table124161167173[2nd Best Result])</f>
        <v>999.99</v>
      </c>
      <c r="BD15">
        <f>_xlfn.XLOOKUP(Table126163169175[[#This Row],[ACA Number]],Table125162168174[ACA Number],Table125162168174[Best result])</f>
        <v>999.99</v>
      </c>
      <c r="BE15">
        <f>_xlfn.XLOOKUP(Table126163169175[[#This Row],[ACA Number]],Table125162168174[ACA Number],Table125162168174[2nd Best Result])</f>
        <v>999.99</v>
      </c>
      <c r="BF15">
        <f t="shared" si="0"/>
        <v>3579.3</v>
      </c>
      <c r="BG15">
        <f>_xlfn.RANK.EQ(Table126163169175[[#This Row],[Total Points]],Table126163169175[Total Points],1)</f>
        <v>13</v>
      </c>
    </row>
    <row r="16" spans="1:59" x14ac:dyDescent="0.3">
      <c r="A16">
        <v>102458</v>
      </c>
      <c r="B16" t="s">
        <v>737</v>
      </c>
      <c r="C16" t="s">
        <v>727</v>
      </c>
      <c r="D16">
        <f>_xlfn.XLOOKUP(Table121158164170[[#This Row],[ACA Number]],Table122110[NAT Number],Table122110[run 1 points])</f>
        <v>999.99</v>
      </c>
      <c r="E16">
        <f>_xlfn.XLOOKUP(Table121158164170[[#This Row],[ACA Number]],Table122110[NAT Number],Table122110[run 2 points])</f>
        <v>999.99</v>
      </c>
      <c r="F16">
        <f>_xlfn.XLOOKUP(Table121158164170[[#This Row],[ACA Number]],Table12211019[NAT Number],Table12211019[run 2 points])</f>
        <v>115.1</v>
      </c>
      <c r="G16">
        <f>_xlfn.XLOOKUP(Table121158164170[[#This Row],[ACA Number]],Table12211019[NAT Number],Table12211019[run 2 points])</f>
        <v>115.1</v>
      </c>
      <c r="H16">
        <f>_xlfn.XLOOKUP(Table121158164170[[#This Row],[ACA Number]],Table12211019344052647688[NAT Number],Table12211019344052647688[run 1 points])</f>
        <v>0</v>
      </c>
      <c r="I16">
        <f>_xlfn.XLOOKUP(Table121158164170[[#This Row],[ACA Number]],Table12211019344052647688[NAT Number],Table12211019344052647688[run 2 points])</f>
        <v>28.28</v>
      </c>
      <c r="J16" cm="1">
        <f t="array" ref="J16">_xlfn.LET(_xlpm.r,Table121158164170[[#This Row],[PM SL1 R1]:[MF SL1 R2]],_xlpm.m,_xlfn.AGGREGATE(15,6,_xlpm.r/(_xlpm.r&lt;&gt;999.99),1),IFERROR(_xlpm.m,999.99))</f>
        <v>0</v>
      </c>
      <c r="L16">
        <v>102458</v>
      </c>
      <c r="M16" t="s">
        <v>737</v>
      </c>
      <c r="N16" t="s">
        <v>727</v>
      </c>
      <c r="O16">
        <f>_xlfn.XLOOKUP(Table122159165171[[#This Row],[ACA Number]],Table127163191[NAT Number],Table127163191[run 1 points])</f>
        <v>111.23</v>
      </c>
      <c r="P16">
        <f>_xlfn.XLOOKUP(Table122159165171[[#This Row],[ACA Number]],Table122110193494[NAT Number],Table122110193494[run 1 points])</f>
        <v>119.49</v>
      </c>
      <c r="Q16" cm="1">
        <f t="array" ref="Q16">_xlfn.LET(_xlpm.r,Table122159165171[[#This Row],[CM SG R1]:[CM SG R2]],_xlpm.m,_xlfn.AGGREGATE(15,6,_xlpm.r/(_xlpm.r&lt;&gt;999.99),1),IFERROR(_xlpm.m,999.99))</f>
        <v>111.23</v>
      </c>
      <c r="S16">
        <v>102458</v>
      </c>
      <c r="T16" t="s">
        <v>737</v>
      </c>
      <c r="U16" t="s">
        <v>727</v>
      </c>
      <c r="V16">
        <f>_xlfn.XLOOKUP(Table123160166172[[#This Row],[ACA Number]],Table122110193440526476[NAT Number],Table122110193440526476[run 1 points])</f>
        <v>92.51</v>
      </c>
      <c r="W16">
        <f>_xlfn.XLOOKUP(Table123160166172[[#This Row],[ACA Number]],Table122110193440526476[NAT Number],Table122110193440526476[run 2 points])</f>
        <v>81.650000000000006</v>
      </c>
      <c r="X16">
        <f>_xlfn.XLOOKUP(Table123160166172[[#This Row],[ACA Number]],Table122110193440526476112[NAT Number],Table122110193440526476112[run 1 points])</f>
        <v>89.47</v>
      </c>
      <c r="Y16">
        <f>_xlfn.XLOOKUP(Table123160166172[[#This Row],[ACA Number]],Table122110193440526476112[NAT Number],Table122110193440526476112[run 2 points])</f>
        <v>62.54</v>
      </c>
      <c r="Z16">
        <f>_xlfn.XLOOKUP(Table123160166172[[#This Row],[ACA Number]],Table122110193440526476112118[NAT Number],Table122110193440526476112118[run 1 points])</f>
        <v>51.94</v>
      </c>
      <c r="AA16">
        <f>_xlfn.XLOOKUP(Table123160166172[[#This Row],[ACA Number]],Table122110193440526476112118[NAT Number],Table122110193440526476112118[run 2 points])</f>
        <v>999.99</v>
      </c>
      <c r="AB16" cm="1">
        <f t="array" ref="AB16">_xlfn.LET(_xlpm.r,Table123160166172[[#This Row],[CM GS1 R1]:[MF GS R2]],_xlpm.m,_xlfn.AGGREGATE(15,6,_xlpm.r/(_xlpm.r&lt;&gt;999.99),1),IFERROR(_xlpm.m,999.99))</f>
        <v>51.94</v>
      </c>
      <c r="AD16">
        <v>102458</v>
      </c>
      <c r="AE16" t="s">
        <v>737</v>
      </c>
      <c r="AF16" t="s">
        <v>727</v>
      </c>
      <c r="AG16">
        <f>_xlfn.XLOOKUP(Table124161167173[[#This Row],[ACA Number]],Table122110[NAT Number],Table122110[TT race points])</f>
        <v>999.99</v>
      </c>
      <c r="AH16">
        <f>_xlfn.XLOOKUP(Table124161167173[[#This Row],[ACA Number]],Table12211019[NAT Number],Table12211019[TT race points])</f>
        <v>72.16</v>
      </c>
      <c r="AI16">
        <f>_xlfn.XLOOKUP(Table124161167173[[#This Row],[ACA Number]],Table12211019344052647688[NAT Number],Table12211019344052647688[TT race points])</f>
        <v>4.3600000000000003</v>
      </c>
      <c r="AJ16" cm="1">
        <f t="array" ref="AJ16">_xlfn.LET(_xlpm.r,Table124161167173[[#This Row],[PM SL1]:[MF SL]],_xlpm.m,_xlfn.AGGREGATE(15,6,_xlpm.r/(_xlpm.r&lt;&gt;999.99),1),IFERROR(_xlpm.m,999.99))</f>
        <v>4.3600000000000003</v>
      </c>
      <c r="AK16" cm="1">
        <f t="array" ref="AK16">_xlfn.LET(_xlpm.r,Table124161167173[[#This Row],[PM SL1]:[MF SL]],_xlpm.m,_xlfn.AGGREGATE(15,6,_xlpm.r/(_xlpm.r&lt;&gt;999.99),2),IFERROR(_xlpm.m,999.99))</f>
        <v>72.16</v>
      </c>
      <c r="AM16">
        <v>102458</v>
      </c>
      <c r="AN16" t="s">
        <v>737</v>
      </c>
      <c r="AO16" t="s">
        <v>727</v>
      </c>
      <c r="AP16">
        <f>_xlfn.XLOOKUP(Table125162168174[[#This Row],[ACA Number]],Table122110193440526476[NAT Number],Table122110193440526476[TT race points])</f>
        <v>85.92</v>
      </c>
      <c r="AQ16">
        <f>_xlfn.XLOOKUP(Table125162168174[[#This Row],[ACA Number]],Table122110193440526476112[NAT Number],Table122110193440526476112[TT race points])</f>
        <v>70.69</v>
      </c>
      <c r="AR16">
        <f>_xlfn.XLOOKUP(Table125162168174[[#This Row],[ACA Number]],Table122110193440526476112118[NAT Number],Table122110193440526476112118[TT race points])</f>
        <v>999.99</v>
      </c>
      <c r="AS16" cm="1">
        <f t="array" ref="AS16">_xlfn.LET(_xlpm.r,Table125162168174[[#This Row],[CM GS1]:[MF GS]],_xlpm.m,_xlfn.AGGREGATE(15,6,_xlpm.r/(_xlpm.r&lt;&gt;999.99),1),IFERROR(_xlpm.m,999.99))</f>
        <v>70.69</v>
      </c>
      <c r="AT16" cm="1">
        <f t="array" ref="AT16">_xlfn.LET(_xlpm.r,Table125162168174[[#This Row],[CM GS1]:[MF GS]],_xlpm.m,_xlfn.AGGREGATE(15,6,_xlpm.r/(_xlpm.r&lt;&gt;999.99),2),IFERROR(_xlpm.m,999.99))</f>
        <v>85.92</v>
      </c>
      <c r="AV16">
        <v>88937</v>
      </c>
      <c r="AW16" t="s">
        <v>729</v>
      </c>
      <c r="AX16" t="s">
        <v>727</v>
      </c>
      <c r="AY16">
        <f>_xlfn.XLOOKUP(Table126163169175[[#This Row],[ACA Number]],Table121158164170[ACA Number],Table121158164170[Best 1 run SL race])</f>
        <v>0.61</v>
      </c>
      <c r="AZ16">
        <f>_xlfn.XLOOKUP(Table126163169175[[#This Row],[ACA Number]],Table123160166172[ACA Number],Table123160166172[Best 1 Run])</f>
        <v>999.99</v>
      </c>
      <c r="BA16">
        <f>_xlfn.XLOOKUP(Table126163169175[[#This Row],[ACA Number]],Table122159165171[ACA Number],Table122159165171[Best 1 run GS Race])</f>
        <v>999.99</v>
      </c>
      <c r="BB16">
        <f>_xlfn.XLOOKUP(Table126163169175[[#This Row],[ACA Number]],Table124161167173[ACA Number],Table124161167173[Best result],)</f>
        <v>0</v>
      </c>
      <c r="BC16">
        <f>_xlfn.XLOOKUP(Table126163169175[[#This Row],[ACA Number]],Table124161167173[ACA Number],Table124161167173[2nd Best Result])</f>
        <v>999.99</v>
      </c>
      <c r="BD16">
        <f>_xlfn.XLOOKUP(Table126163169175[[#This Row],[ACA Number]],Table125162168174[ACA Number],Table125162168174[Best result])</f>
        <v>999.99</v>
      </c>
      <c r="BE16">
        <f>_xlfn.XLOOKUP(Table126163169175[[#This Row],[ACA Number]],Table125162168174[ACA Number],Table125162168174[2nd Best Result])</f>
        <v>999.99</v>
      </c>
      <c r="BF16">
        <f t="shared" si="0"/>
        <v>5000.5599999999995</v>
      </c>
      <c r="BG16">
        <f>_xlfn.RANK.EQ(Table126163169175[[#This Row],[Total Points]],Table126163169175[Total Points],1)</f>
        <v>14</v>
      </c>
    </row>
  </sheetData>
  <mergeCells count="6">
    <mergeCell ref="AY1:BG1"/>
    <mergeCell ref="D1:J1"/>
    <mergeCell ref="O1:Q1"/>
    <mergeCell ref="V1:AB1"/>
    <mergeCell ref="AG1:AK1"/>
    <mergeCell ref="AP1:AT1"/>
  </mergeCells>
  <pageMargins left="0.7" right="0.7" top="0.75" bottom="0.75" header="0.3" footer="0.3"/>
  <tableParts count="6">
    <tablePart r:id="rId1"/>
    <tablePart r:id="rId2"/>
    <tablePart r:id="rId3"/>
    <tablePart r:id="rId4"/>
    <tablePart r:id="rId5"/>
    <tablePart r:id="rId6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0BA07A-F3F3-4719-9CBA-19A77AEA4A7D}">
  <dimension ref="A1:BG11"/>
  <sheetViews>
    <sheetView topLeftCell="AR2" workbookViewId="0">
      <selection activeCell="BG26" sqref="BG26"/>
    </sheetView>
  </sheetViews>
  <sheetFormatPr defaultRowHeight="14.4" x14ac:dyDescent="0.3"/>
  <cols>
    <col min="1" max="1" width="13.44140625" customWidth="1"/>
    <col min="3" max="3" width="10.21875" customWidth="1"/>
    <col min="4" max="7" width="10.44140625" customWidth="1"/>
    <col min="8" max="8" width="13.33203125" bestFit="1" customWidth="1"/>
    <col min="9" max="9" width="10.33203125" customWidth="1"/>
    <col min="10" max="10" width="17.21875" customWidth="1"/>
    <col min="12" max="12" width="13.21875" customWidth="1"/>
    <col min="14" max="14" width="10" customWidth="1"/>
    <col min="15" max="16" width="10.5546875" customWidth="1"/>
    <col min="17" max="17" width="17.88671875" customWidth="1"/>
    <col min="19" max="19" width="13.21875" customWidth="1"/>
    <col min="21" max="21" width="10" customWidth="1"/>
    <col min="22" max="25" width="10.5546875" customWidth="1"/>
    <col min="26" max="27" width="10.33203125" customWidth="1"/>
    <col min="28" max="28" width="11.21875" customWidth="1"/>
    <col min="30" max="30" width="13.21875" customWidth="1"/>
    <col min="32" max="32" width="10" customWidth="1"/>
    <col min="33" max="33" width="11.33203125" bestFit="1" customWidth="1"/>
    <col min="36" max="36" width="11.33203125" customWidth="1"/>
    <col min="37" max="37" width="15.109375" customWidth="1"/>
    <col min="39" max="39" width="13.21875" customWidth="1"/>
    <col min="41" max="41" width="10" customWidth="1"/>
    <col min="44" max="44" width="15" bestFit="1" customWidth="1"/>
    <col min="45" max="45" width="11.33203125" customWidth="1"/>
    <col min="46" max="46" width="15.109375" customWidth="1"/>
    <col min="48" max="48" width="13.21875" customWidth="1"/>
    <col min="49" max="49" width="15.6640625" bestFit="1" customWidth="1"/>
    <col min="50" max="50" width="10" customWidth="1"/>
    <col min="51" max="51" width="9.109375" customWidth="1"/>
    <col min="52" max="52" width="10" customWidth="1"/>
    <col min="53" max="53" width="9.21875" customWidth="1"/>
    <col min="54" max="54" width="12.6640625" customWidth="1"/>
    <col min="55" max="55" width="16" customWidth="1"/>
    <col min="56" max="56" width="13.109375" customWidth="1"/>
    <col min="57" max="57" width="16.44140625" customWidth="1"/>
    <col min="58" max="58" width="10.109375" customWidth="1"/>
    <col min="59" max="59" width="12.109375" customWidth="1"/>
  </cols>
  <sheetData>
    <row r="1" spans="1:59" ht="21" x14ac:dyDescent="0.4">
      <c r="A1" s="4"/>
      <c r="B1" s="4"/>
      <c r="C1" s="4"/>
      <c r="D1" s="7" t="s">
        <v>450</v>
      </c>
      <c r="E1" s="7"/>
      <c r="F1" s="7"/>
      <c r="G1" s="7"/>
      <c r="H1" s="7"/>
      <c r="I1" s="7"/>
      <c r="J1" s="7"/>
      <c r="K1" s="4"/>
      <c r="L1" s="4"/>
      <c r="M1" s="4"/>
      <c r="N1" s="4"/>
      <c r="O1" s="7" t="s">
        <v>452</v>
      </c>
      <c r="P1" s="7"/>
      <c r="Q1" s="7"/>
      <c r="R1" s="4"/>
      <c r="S1" s="4"/>
      <c r="T1" s="4"/>
      <c r="U1" s="4"/>
      <c r="V1" s="7" t="s">
        <v>451</v>
      </c>
      <c r="W1" s="7"/>
      <c r="X1" s="7"/>
      <c r="Y1" s="7"/>
      <c r="Z1" s="7"/>
      <c r="AA1" s="7"/>
      <c r="AB1" s="7"/>
      <c r="AC1" s="4"/>
      <c r="AD1" s="4"/>
      <c r="AE1" s="4"/>
      <c r="AF1" s="4"/>
      <c r="AG1" s="7" t="s">
        <v>453</v>
      </c>
      <c r="AH1" s="7"/>
      <c r="AI1" s="7"/>
      <c r="AJ1" s="7"/>
      <c r="AK1" s="7"/>
      <c r="AL1" s="4"/>
      <c r="AM1" s="4"/>
      <c r="AN1" s="4"/>
      <c r="AO1" s="4"/>
      <c r="AP1" s="7" t="s">
        <v>458</v>
      </c>
      <c r="AQ1" s="7"/>
      <c r="AR1" s="7"/>
      <c r="AS1" s="7"/>
      <c r="AT1" s="7"/>
      <c r="AU1" s="4"/>
      <c r="AV1" s="4"/>
      <c r="AW1" s="4"/>
      <c r="AX1" s="4"/>
      <c r="AY1" s="7" t="s">
        <v>603</v>
      </c>
      <c r="AZ1" s="7"/>
      <c r="BA1" s="7"/>
      <c r="BB1" s="7"/>
      <c r="BC1" s="7"/>
      <c r="BD1" s="7"/>
      <c r="BE1" s="7"/>
      <c r="BF1" s="7"/>
      <c r="BG1" s="7"/>
    </row>
    <row r="2" spans="1:59" x14ac:dyDescent="0.3">
      <c r="A2" t="s">
        <v>367</v>
      </c>
      <c r="B2" t="s">
        <v>368</v>
      </c>
      <c r="C2" t="s">
        <v>354</v>
      </c>
      <c r="D2" t="s">
        <v>604</v>
      </c>
      <c r="E2" t="s">
        <v>605</v>
      </c>
      <c r="F2" t="s">
        <v>606</v>
      </c>
      <c r="G2" t="s">
        <v>607</v>
      </c>
      <c r="H2" t="s">
        <v>608</v>
      </c>
      <c r="I2" t="s">
        <v>609</v>
      </c>
      <c r="J2" t="s">
        <v>456</v>
      </c>
      <c r="L2" t="s">
        <v>367</v>
      </c>
      <c r="M2" t="s">
        <v>368</v>
      </c>
      <c r="N2" t="s">
        <v>354</v>
      </c>
      <c r="O2" t="s">
        <v>610</v>
      </c>
      <c r="P2" t="s">
        <v>611</v>
      </c>
      <c r="Q2" t="s">
        <v>457</v>
      </c>
      <c r="S2" t="s">
        <v>367</v>
      </c>
      <c r="T2" t="s">
        <v>368</v>
      </c>
      <c r="U2" t="s">
        <v>354</v>
      </c>
      <c r="V2" t="s">
        <v>612</v>
      </c>
      <c r="W2" t="s">
        <v>613</v>
      </c>
      <c r="X2" t="s">
        <v>614</v>
      </c>
      <c r="Y2" t="s">
        <v>615</v>
      </c>
      <c r="Z2" t="s">
        <v>616</v>
      </c>
      <c r="AA2" t="s">
        <v>617</v>
      </c>
      <c r="AB2" t="s">
        <v>369</v>
      </c>
      <c r="AD2" t="s">
        <v>367</v>
      </c>
      <c r="AE2" t="s">
        <v>368</v>
      </c>
      <c r="AF2" t="s">
        <v>354</v>
      </c>
      <c r="AG2" t="s">
        <v>618</v>
      </c>
      <c r="AH2" t="s">
        <v>619</v>
      </c>
      <c r="AI2" t="s">
        <v>620</v>
      </c>
      <c r="AJ2" t="s">
        <v>454</v>
      </c>
      <c r="AK2" t="s">
        <v>455</v>
      </c>
      <c r="AM2" t="s">
        <v>367</v>
      </c>
      <c r="AN2" t="s">
        <v>368</v>
      </c>
      <c r="AO2" t="s">
        <v>354</v>
      </c>
      <c r="AP2" t="s">
        <v>621</v>
      </c>
      <c r="AQ2" t="s">
        <v>622</v>
      </c>
      <c r="AR2" t="s">
        <v>623</v>
      </c>
      <c r="AS2" t="s">
        <v>454</v>
      </c>
      <c r="AT2" t="s">
        <v>455</v>
      </c>
      <c r="AV2" t="s">
        <v>367</v>
      </c>
      <c r="AW2" t="s">
        <v>368</v>
      </c>
      <c r="AX2" t="s">
        <v>354</v>
      </c>
      <c r="AY2" t="s">
        <v>587</v>
      </c>
      <c r="AZ2" t="s">
        <v>581</v>
      </c>
      <c r="BA2" t="s">
        <v>582</v>
      </c>
      <c r="BB2" t="s">
        <v>583</v>
      </c>
      <c r="BC2" t="s">
        <v>584</v>
      </c>
      <c r="BD2" t="s">
        <v>585</v>
      </c>
      <c r="BE2" t="s">
        <v>586</v>
      </c>
      <c r="BF2" t="s">
        <v>588</v>
      </c>
      <c r="BG2" t="s">
        <v>624</v>
      </c>
    </row>
    <row r="3" spans="1:59" x14ac:dyDescent="0.3">
      <c r="A3">
        <v>85643</v>
      </c>
      <c r="B3" t="s">
        <v>816</v>
      </c>
      <c r="C3" t="s">
        <v>817</v>
      </c>
      <c r="D3" t="e">
        <f>_xlfn.XLOOKUP(Table121158164189[[#This Row],[ACA Number]],Table1221[NAT Number],Table1221[run 1 points])</f>
        <v>#N/A</v>
      </c>
      <c r="E3" t="e">
        <f>_xlfn.XLOOKUP(Table121158164189[[#This Row],[ACA Number]],Table1221[NAT Number],Table1221[run 2 points])</f>
        <v>#N/A</v>
      </c>
      <c r="F3" t="e">
        <f>_xlfn.XLOOKUP(Table121158164189[[#This Row],[ACA Number]],Table122128[NAT Number],Table122128[run 1 points])</f>
        <v>#N/A</v>
      </c>
      <c r="G3" t="e">
        <f>_xlfn.XLOOKUP(Table121158164189[[#This Row],[ACA Number]],Table122128[NAT Number],Table122128[run 2 points])</f>
        <v>#N/A</v>
      </c>
      <c r="H3" t="e">
        <f>_xlfn.XLOOKUP(Table121158164189[[#This Row],[ACA Number]],Table122110193446587082[NAT Number],Table122110193446587082[run 1 points])</f>
        <v>#N/A</v>
      </c>
      <c r="I3" t="e">
        <f>_xlfn.XLOOKUP(Table121158164189[[#This Row],[ACA Number]],Table122110193446587082[NAT Number],Table122110193446587082[run 2 points])</f>
        <v>#N/A</v>
      </c>
      <c r="J3" cm="1">
        <f t="array" ref="J3">_xlfn.LET(_xlpm.r,Table121158164189[[#This Row],[PM SL1 R1]:[MF SL1 R2]],_xlpm.m,_xlfn.AGGREGATE(15,6,_xlpm.r/(_xlpm.r&lt;&gt;999.99),1),IFERROR(_xlpm.m,999.99))</f>
        <v>999.99</v>
      </c>
      <c r="L3">
        <v>85643</v>
      </c>
      <c r="M3" t="s">
        <v>816</v>
      </c>
      <c r="N3" t="s">
        <v>817</v>
      </c>
      <c r="O3" t="e">
        <f>_xlfn.XLOOKUP(Table122159165190[[#This Row],[ACA Number]],Table1271631[NAT Number],Table1271631[run 1 points])</f>
        <v>#N/A</v>
      </c>
      <c r="P3" t="e">
        <f>_xlfn.XLOOKUP(Table122159165190[[#This Row],[ACA Number]],Table1221101934[NAT Number],Table1221101934[run 1 points])</f>
        <v>#N/A</v>
      </c>
      <c r="Q3" cm="1">
        <f t="array" ref="Q3">_xlfn.LET(_xlpm.r,Table122159165190[[#This Row],[CM SG R1]:[CM SG R2]],_xlpm.m,_xlfn.AGGREGATE(15,6,_xlpm.r/(_xlpm.r&lt;&gt;999.99),1),IFERROR(_xlpm.m,999.99))</f>
        <v>999.99</v>
      </c>
      <c r="S3">
        <v>85643</v>
      </c>
      <c r="T3" t="s">
        <v>816</v>
      </c>
      <c r="U3" t="s">
        <v>817</v>
      </c>
      <c r="V3" t="e">
        <f>_xlfn.XLOOKUP(Table123160166191[[#This Row],[ACA Number]],Table1221101934465870100106[NAT Number],Table1221101934465870100106[run 1 points])</f>
        <v>#N/A</v>
      </c>
      <c r="W3" t="e">
        <f>_xlfn.XLOOKUP(Table123160166191[[#This Row],[ACA Number]],Table1221101934465870100106[NAT Number],Table1221101934465870100106[run 2 points])</f>
        <v>#N/A</v>
      </c>
      <c r="X3" t="e">
        <f>_xlfn.XLOOKUP(Table123160166191[[#This Row],[ACA Number]],Table1221101934465870100[NAT Number],Table1221101934465870100[run 1 points])</f>
        <v>#N/A</v>
      </c>
      <c r="Y3" t="e">
        <f>_xlfn.XLOOKUP(Table123160166191[[#This Row],[ACA Number]],Table1221101934465870100[NAT Number],Table1221101934465870100[run 2 points])</f>
        <v>#N/A</v>
      </c>
      <c r="Z3" t="e">
        <f>_xlfn.XLOOKUP(Table123160166191[[#This Row],[ACA Number]],Table1221101934465870[NAT Number],Table1221101934465870[run 1 points])</f>
        <v>#N/A</v>
      </c>
      <c r="AA3" t="e">
        <f>_xlfn.XLOOKUP(Table123160166191[[#This Row],[ACA Number]],Table1221101934465870[NAT Number],Table1221101934465870[run 2 points])</f>
        <v>#N/A</v>
      </c>
      <c r="AB3" cm="1">
        <f t="array" ref="AB3">_xlfn.LET(_xlpm.r,Table123160166191[[#This Row],[CM GS1 R1]:[MF GS R2]],_xlpm.m,_xlfn.AGGREGATE(15,6,_xlpm.r/(_xlpm.r&lt;&gt;999.99),1),IFERROR(_xlpm.m,999.99))</f>
        <v>999.99</v>
      </c>
      <c r="AD3">
        <v>85643</v>
      </c>
      <c r="AE3" t="s">
        <v>816</v>
      </c>
      <c r="AF3" t="s">
        <v>817</v>
      </c>
      <c r="AG3" t="e">
        <f>_xlfn.XLOOKUP(Table124161167192[[#This Row],[ACA Number]],Table1221[NAT Number],Table1221[TT race points])</f>
        <v>#N/A</v>
      </c>
      <c r="AH3" t="e">
        <f>_xlfn.XLOOKUP(Table124161167192[[#This Row],[ACA Number]],Table122128[NAT Number],Table122128[TT race points])</f>
        <v>#N/A</v>
      </c>
      <c r="AI3" t="e">
        <f>_xlfn.XLOOKUP(Table124161167192[[#This Row],[ACA Number]],Table122110193446587082[NAT Number],Table122110193446587082[TT race points])</f>
        <v>#N/A</v>
      </c>
      <c r="AJ3" cm="1">
        <f t="array" ref="AJ3">_xlfn.LET(_xlpm.r,Table124161167192[[#This Row],[PM SL1]:[MF SL]],_xlpm.m,_xlfn.AGGREGATE(15,6,_xlpm.r/(_xlpm.r&lt;&gt;999.99),1),IFERROR(_xlpm.m,999.99))</f>
        <v>999.99</v>
      </c>
      <c r="AK3" cm="1">
        <f t="array" ref="AK3">_xlfn.LET(_xlpm.r,Table124161167192[[#This Row],[PM SL1]:[MF SL]],_xlpm.m,_xlfn.AGGREGATE(15,6,_xlpm.r/(_xlpm.r&lt;&gt;999.99),2),IFERROR(_xlpm.m,999.99))</f>
        <v>999.99</v>
      </c>
      <c r="AM3">
        <v>85643</v>
      </c>
      <c r="AN3" t="s">
        <v>816</v>
      </c>
      <c r="AO3" t="s">
        <v>817</v>
      </c>
      <c r="AP3" t="e">
        <f>_xlfn.XLOOKUP(Table125162168193[[#This Row],[ACA Number]],Table1221101934465870100106[NAT Number],Table1221101934465870100106[TT race points])</f>
        <v>#N/A</v>
      </c>
      <c r="AQ3" t="e">
        <f>_xlfn.XLOOKUP(Table125162168193[[#This Row],[ACA Number]],Table1221101934465870100[NAT Number],Table1221101934465870100[TT race points])</f>
        <v>#N/A</v>
      </c>
      <c r="AR3" t="e">
        <f>_xlfn.XLOOKUP(Table125162168193[[#This Row],[ACA Number]],Table1221101934465870[NAT Number],Table1221101934465870[TT race points])</f>
        <v>#N/A</v>
      </c>
      <c r="AS3" cm="1">
        <f t="array" ref="AS3">_xlfn.LET(_xlpm.r,Table125162168193[[#This Row],[CM GS1]:[MF GS]],_xlpm.m,_xlfn.AGGREGATE(15,6,_xlpm.r/(_xlpm.r&lt;&gt;999.99),1),IFERROR(_xlpm.m,999.99))</f>
        <v>999.99</v>
      </c>
      <c r="AT3" cm="1">
        <f t="array" ref="AT3">_xlfn.LET(_xlpm.r,Table125162168193[[#This Row],[CM GS1]:[MF GS]],_xlpm.m,_xlfn.AGGREGATE(15,6,_xlpm.r/(_xlpm.r&lt;&gt;999.99),2),IFERROR(_xlpm.m,999.99))</f>
        <v>999.99</v>
      </c>
      <c r="AV3">
        <v>85061</v>
      </c>
      <c r="AW3" t="s">
        <v>820</v>
      </c>
      <c r="AX3" t="s">
        <v>817</v>
      </c>
      <c r="AY3">
        <f>_xlfn.XLOOKUP(Table126163169194[[#This Row],[ACA Number]],Table121158164189[ACA Number],Table121158164189[Best 1 run SL race])</f>
        <v>6.01</v>
      </c>
      <c r="AZ3">
        <f>_xlfn.XLOOKUP(Table126163169194[[#This Row],[ACA Number]],Table123160166191[ACA Number],Table123160166191[Best 1 Run])</f>
        <v>13.58</v>
      </c>
      <c r="BA3">
        <f>_xlfn.XLOOKUP(Table126163169194[[#This Row],[ACA Number]],Table122159165190[ACA Number],Table122159165190[Best 1 run GS Race])</f>
        <v>999.99</v>
      </c>
      <c r="BB3">
        <f>_xlfn.XLOOKUP(Table126163169194[[#This Row],[ACA Number]],Table124161167192[ACA Number],Table124161167192[Best result],)</f>
        <v>14.3</v>
      </c>
      <c r="BC3">
        <f>_xlfn.XLOOKUP(Table126163169194[[#This Row],[ACA Number]],Table124161167192[ACA Number],Table124161167192[2nd Best Result])</f>
        <v>17.43</v>
      </c>
      <c r="BD3">
        <f>_xlfn.XLOOKUP(Table126163169194[[#This Row],[ACA Number]],Table125162168193[ACA Number],Table125162168193[Best result])</f>
        <v>11.8</v>
      </c>
      <c r="BE3">
        <f>_xlfn.XLOOKUP(Table126163169194[[#This Row],[ACA Number]],Table125162168193[ACA Number],Table125162168193[2nd Best Result])</f>
        <v>51.83</v>
      </c>
      <c r="BF3">
        <f t="shared" ref="BF3:BF11" si="0">SUM(AY3:BE3)</f>
        <v>1114.94</v>
      </c>
      <c r="BG3">
        <f>_xlfn.RANK.EQ(Table126163169194[[#This Row],[Total Points]],Table126163169194[Total Points],1)</f>
        <v>2</v>
      </c>
    </row>
    <row r="4" spans="1:59" x14ac:dyDescent="0.3">
      <c r="A4">
        <v>84482</v>
      </c>
      <c r="B4" t="s">
        <v>818</v>
      </c>
      <c r="C4" t="s">
        <v>817</v>
      </c>
      <c r="D4" t="e">
        <f>_xlfn.XLOOKUP(Table121158164189[[#This Row],[ACA Number]],Table1221[NAT Number],Table1221[run 1 points])</f>
        <v>#N/A</v>
      </c>
      <c r="E4" t="e">
        <f>_xlfn.XLOOKUP(Table121158164189[[#This Row],[ACA Number]],Table1221[NAT Number],Table1221[run 2 points])</f>
        <v>#N/A</v>
      </c>
      <c r="F4" t="e">
        <f>_xlfn.XLOOKUP(Table121158164189[[#This Row],[ACA Number]],Table122128[NAT Number],Table122128[run 1 points])</f>
        <v>#N/A</v>
      </c>
      <c r="G4" t="e">
        <f>_xlfn.XLOOKUP(Table121158164189[[#This Row],[ACA Number]],Table122128[NAT Number],Table122128[run 2 points])</f>
        <v>#N/A</v>
      </c>
      <c r="H4" t="e">
        <f>_xlfn.XLOOKUP(Table121158164189[[#This Row],[ACA Number]],Table122110193446587082[NAT Number],Table122110193446587082[run 1 points])</f>
        <v>#N/A</v>
      </c>
      <c r="I4" t="e">
        <f>_xlfn.XLOOKUP(Table121158164189[[#This Row],[ACA Number]],Table122110193446587082[NAT Number],Table122110193446587082[run 2 points])</f>
        <v>#N/A</v>
      </c>
      <c r="J4" cm="1">
        <f t="array" ref="J4">_xlfn.LET(_xlpm.r,Table121158164189[[#This Row],[PM SL1 R1]:[MF SL1 R2]],_xlpm.m,_xlfn.AGGREGATE(15,6,_xlpm.r/(_xlpm.r&lt;&gt;999.99),1),IFERROR(_xlpm.m,999.99))</f>
        <v>999.99</v>
      </c>
      <c r="L4">
        <v>84482</v>
      </c>
      <c r="M4" t="s">
        <v>818</v>
      </c>
      <c r="N4" t="s">
        <v>817</v>
      </c>
      <c r="O4" t="e">
        <f>_xlfn.XLOOKUP(Table122159165190[[#This Row],[ACA Number]],Table1271631[NAT Number],Table1271631[run 1 points])</f>
        <v>#N/A</v>
      </c>
      <c r="P4" t="e">
        <f>_xlfn.XLOOKUP(Table122159165190[[#This Row],[ACA Number]],Table1221101934[NAT Number],Table1221101934[run 1 points])</f>
        <v>#N/A</v>
      </c>
      <c r="Q4" cm="1">
        <f t="array" ref="Q4">_xlfn.LET(_xlpm.r,Table122159165190[[#This Row],[CM SG R1]:[CM SG R2]],_xlpm.m,_xlfn.AGGREGATE(15,6,_xlpm.r/(_xlpm.r&lt;&gt;999.99),1),IFERROR(_xlpm.m,999.99))</f>
        <v>999.99</v>
      </c>
      <c r="S4">
        <v>84482</v>
      </c>
      <c r="T4" t="s">
        <v>818</v>
      </c>
      <c r="U4" t="s">
        <v>817</v>
      </c>
      <c r="V4" t="e">
        <f>_xlfn.XLOOKUP(Table123160166191[[#This Row],[ACA Number]],Table1221101934465870100106[NAT Number],Table1221101934465870100106[run 1 points])</f>
        <v>#N/A</v>
      </c>
      <c r="W4" t="e">
        <f>_xlfn.XLOOKUP(Table123160166191[[#This Row],[ACA Number]],Table1221101934465870100106[NAT Number],Table1221101934465870100106[run 2 points])</f>
        <v>#N/A</v>
      </c>
      <c r="X4" t="e">
        <f>_xlfn.XLOOKUP(Table123160166191[[#This Row],[ACA Number]],Table1221101934465870100[NAT Number],Table1221101934465870100[run 1 points])</f>
        <v>#N/A</v>
      </c>
      <c r="Y4" t="e">
        <f>_xlfn.XLOOKUP(Table123160166191[[#This Row],[ACA Number]],Table1221101934465870100[NAT Number],Table1221101934465870100[run 2 points])</f>
        <v>#N/A</v>
      </c>
      <c r="Z4" t="e">
        <f>_xlfn.XLOOKUP(Table123160166191[[#This Row],[ACA Number]],Table1221101934465870[NAT Number],Table1221101934465870[run 1 points])</f>
        <v>#N/A</v>
      </c>
      <c r="AA4" t="e">
        <f>_xlfn.XLOOKUP(Table123160166191[[#This Row],[ACA Number]],Table1221101934465870[NAT Number],Table1221101934465870[run 2 points])</f>
        <v>#N/A</v>
      </c>
      <c r="AB4" cm="1">
        <f t="array" ref="AB4">_xlfn.LET(_xlpm.r,Table123160166191[[#This Row],[CM GS1 R1]:[MF GS R2]],_xlpm.m,_xlfn.AGGREGATE(15,6,_xlpm.r/(_xlpm.r&lt;&gt;999.99),1),IFERROR(_xlpm.m,999.99))</f>
        <v>999.99</v>
      </c>
      <c r="AD4">
        <v>84482</v>
      </c>
      <c r="AE4" t="s">
        <v>818</v>
      </c>
      <c r="AF4" t="s">
        <v>817</v>
      </c>
      <c r="AG4" t="e">
        <f>_xlfn.XLOOKUP(Table124161167192[[#This Row],[ACA Number]],Table1221[NAT Number],Table1221[TT race points])</f>
        <v>#N/A</v>
      </c>
      <c r="AH4" t="e">
        <f>_xlfn.XLOOKUP(Table124161167192[[#This Row],[ACA Number]],Table122128[NAT Number],Table122128[TT race points])</f>
        <v>#N/A</v>
      </c>
      <c r="AI4" t="e">
        <f>_xlfn.XLOOKUP(Table124161167192[[#This Row],[ACA Number]],Table122110193446587082[NAT Number],Table122110193446587082[TT race points])</f>
        <v>#N/A</v>
      </c>
      <c r="AJ4" cm="1">
        <f t="array" ref="AJ4">_xlfn.LET(_xlpm.r,Table124161167192[[#This Row],[PM SL1]:[MF SL]],_xlpm.m,_xlfn.AGGREGATE(15,6,_xlpm.r/(_xlpm.r&lt;&gt;999.99),1),IFERROR(_xlpm.m,999.99))</f>
        <v>999.99</v>
      </c>
      <c r="AK4" cm="1">
        <f t="array" ref="AK4">_xlfn.LET(_xlpm.r,Table124161167192[[#This Row],[PM SL1]:[MF SL]],_xlpm.m,_xlfn.AGGREGATE(15,6,_xlpm.r/(_xlpm.r&lt;&gt;999.99),2),IFERROR(_xlpm.m,999.99))</f>
        <v>999.99</v>
      </c>
      <c r="AM4">
        <v>84482</v>
      </c>
      <c r="AN4" t="s">
        <v>818</v>
      </c>
      <c r="AO4" t="s">
        <v>817</v>
      </c>
      <c r="AP4" t="e">
        <f>_xlfn.XLOOKUP(Table125162168193[[#This Row],[ACA Number]],Table1221101934465870100106[NAT Number],Table1221101934465870100106[TT race points])</f>
        <v>#N/A</v>
      </c>
      <c r="AQ4" t="e">
        <f>_xlfn.XLOOKUP(Table125162168193[[#This Row],[ACA Number]],Table1221101934465870100[NAT Number],Table1221101934465870100[TT race points])</f>
        <v>#N/A</v>
      </c>
      <c r="AR4" t="e">
        <f>_xlfn.XLOOKUP(Table125162168193[[#This Row],[ACA Number]],Table1221101934465870[NAT Number],Table1221101934465870[TT race points])</f>
        <v>#N/A</v>
      </c>
      <c r="AS4" cm="1">
        <f t="array" ref="AS4">_xlfn.LET(_xlpm.r,Table125162168193[[#This Row],[CM GS1]:[MF GS]],_xlpm.m,_xlfn.AGGREGATE(15,6,_xlpm.r/(_xlpm.r&lt;&gt;999.99),1),IFERROR(_xlpm.m,999.99))</f>
        <v>999.99</v>
      </c>
      <c r="AT4" cm="1">
        <f t="array" ref="AT4">_xlfn.LET(_xlpm.r,Table125162168193[[#This Row],[CM GS1]:[MF GS]],_xlpm.m,_xlfn.AGGREGATE(15,6,_xlpm.r/(_xlpm.r&lt;&gt;999.99),2),IFERROR(_xlpm.m,999.99))</f>
        <v>999.99</v>
      </c>
      <c r="AV4">
        <v>117692</v>
      </c>
      <c r="AW4" t="s">
        <v>825</v>
      </c>
      <c r="AX4" t="s">
        <v>817</v>
      </c>
      <c r="AY4">
        <f>_xlfn.XLOOKUP(Table126163169194[[#This Row],[ACA Number]],Table121158164189[ACA Number],Table121158164189[Best 1 run SL race])</f>
        <v>203.24</v>
      </c>
      <c r="AZ4">
        <f>_xlfn.XLOOKUP(Table126163169194[[#This Row],[ACA Number]],Table123160166191[ACA Number],Table123160166191[Best 1 Run])</f>
        <v>119.38</v>
      </c>
      <c r="BA4">
        <f>_xlfn.XLOOKUP(Table126163169194[[#This Row],[ACA Number]],Table122159165190[ACA Number],Table122159165190[Best 1 run GS Race])</f>
        <v>239.85</v>
      </c>
      <c r="BB4">
        <f>_xlfn.XLOOKUP(Table126163169194[[#This Row],[ACA Number]],Table124161167192[ACA Number],Table124161167192[Best result],)</f>
        <v>249.94</v>
      </c>
      <c r="BC4">
        <f>_xlfn.XLOOKUP(Table126163169194[[#This Row],[ACA Number]],Table124161167192[ACA Number],Table124161167192[2nd Best Result])</f>
        <v>999.99</v>
      </c>
      <c r="BD4">
        <f>_xlfn.XLOOKUP(Table126163169194[[#This Row],[ACA Number]],Table125162168193[ACA Number],Table125162168193[Best result])</f>
        <v>114.84</v>
      </c>
      <c r="BE4">
        <f>_xlfn.XLOOKUP(Table126163169194[[#This Row],[ACA Number]],Table125162168193[ACA Number],Table125162168193[2nd Best Result])</f>
        <v>130.86000000000001</v>
      </c>
      <c r="BF4">
        <f t="shared" si="0"/>
        <v>2058.1</v>
      </c>
      <c r="BG4">
        <f>_xlfn.RANK.EQ(Table126163169194[[#This Row],[Total Points]],Table126163169194[Total Points],1)</f>
        <v>3</v>
      </c>
    </row>
    <row r="5" spans="1:59" x14ac:dyDescent="0.3">
      <c r="A5">
        <v>89136</v>
      </c>
      <c r="B5" t="s">
        <v>819</v>
      </c>
      <c r="C5" t="s">
        <v>817</v>
      </c>
      <c r="D5" t="e">
        <f>_xlfn.XLOOKUP(Table121158164189[[#This Row],[ACA Number]],Table1221[NAT Number],Table1221[run 1 points])</f>
        <v>#N/A</v>
      </c>
      <c r="E5" t="e">
        <f>_xlfn.XLOOKUP(Table121158164189[[#This Row],[ACA Number]],Table1221[NAT Number],Table1221[run 2 points])</f>
        <v>#N/A</v>
      </c>
      <c r="F5" t="e">
        <f>_xlfn.XLOOKUP(Table121158164189[[#This Row],[ACA Number]],Table122128[NAT Number],Table122128[run 1 points])</f>
        <v>#N/A</v>
      </c>
      <c r="G5" t="e">
        <f>_xlfn.XLOOKUP(Table121158164189[[#This Row],[ACA Number]],Table122128[NAT Number],Table122128[run 2 points])</f>
        <v>#N/A</v>
      </c>
      <c r="H5">
        <f>_xlfn.XLOOKUP(Table121158164189[[#This Row],[ACA Number]],Table122110193446587082[NAT Number],Table122110193446587082[run 1 points])</f>
        <v>86.23</v>
      </c>
      <c r="I5">
        <f>_xlfn.XLOOKUP(Table121158164189[[#This Row],[ACA Number]],Table122110193446587082[NAT Number],Table122110193446587082[run 2 points])</f>
        <v>142.74</v>
      </c>
      <c r="J5" cm="1">
        <f t="array" ref="J5">_xlfn.LET(_xlpm.r,Table121158164189[[#This Row],[PM SL1 R1]:[MF SL1 R2]],_xlpm.m,_xlfn.AGGREGATE(15,6,_xlpm.r/(_xlpm.r&lt;&gt;999.99),1),IFERROR(_xlpm.m,999.99))</f>
        <v>86.23</v>
      </c>
      <c r="L5">
        <v>89136</v>
      </c>
      <c r="M5" t="s">
        <v>819</v>
      </c>
      <c r="N5" t="s">
        <v>817</v>
      </c>
      <c r="O5" t="e">
        <f>_xlfn.XLOOKUP(Table122159165190[[#This Row],[ACA Number]],Table1271631[NAT Number],Table1271631[run 1 points])</f>
        <v>#N/A</v>
      </c>
      <c r="P5" t="e">
        <f>_xlfn.XLOOKUP(Table122159165190[[#This Row],[ACA Number]],Table1221101934[NAT Number],Table1221101934[run 1 points])</f>
        <v>#N/A</v>
      </c>
      <c r="Q5" cm="1">
        <f t="array" ref="Q5">_xlfn.LET(_xlpm.r,Table122159165190[[#This Row],[CM SG R1]:[CM SG R2]],_xlpm.m,_xlfn.AGGREGATE(15,6,_xlpm.r/(_xlpm.r&lt;&gt;999.99),1),IFERROR(_xlpm.m,999.99))</f>
        <v>999.99</v>
      </c>
      <c r="S5">
        <v>89136</v>
      </c>
      <c r="T5" t="s">
        <v>819</v>
      </c>
      <c r="U5" t="s">
        <v>817</v>
      </c>
      <c r="V5" t="e">
        <f>_xlfn.XLOOKUP(Table123160166191[[#This Row],[ACA Number]],Table1221101934465870100106[NAT Number],Table1221101934465870100106[run 1 points])</f>
        <v>#N/A</v>
      </c>
      <c r="W5" t="e">
        <f>_xlfn.XLOOKUP(Table123160166191[[#This Row],[ACA Number]],Table1221101934465870100106[NAT Number],Table1221101934465870100106[run 2 points])</f>
        <v>#N/A</v>
      </c>
      <c r="X5" t="e">
        <f>_xlfn.XLOOKUP(Table123160166191[[#This Row],[ACA Number]],Table1221101934465870100[NAT Number],Table1221101934465870100[run 1 points])</f>
        <v>#N/A</v>
      </c>
      <c r="Y5" t="e">
        <f>_xlfn.XLOOKUP(Table123160166191[[#This Row],[ACA Number]],Table1221101934465870100[NAT Number],Table1221101934465870100[run 2 points])</f>
        <v>#N/A</v>
      </c>
      <c r="Z5">
        <f>_xlfn.XLOOKUP(Table123160166191[[#This Row],[ACA Number]],Table1221101934465870[NAT Number],Table1221101934465870[run 1 points])</f>
        <v>52.58</v>
      </c>
      <c r="AA5">
        <f>_xlfn.XLOOKUP(Table123160166191[[#This Row],[ACA Number]],Table1221101934465870[NAT Number],Table1221101934465870[run 2 points])</f>
        <v>43.23</v>
      </c>
      <c r="AB5" cm="1">
        <f t="array" ref="AB5">_xlfn.LET(_xlpm.r,Table123160166191[[#This Row],[CM GS1 R1]:[MF GS R2]],_xlpm.m,_xlfn.AGGREGATE(15,6,_xlpm.r/(_xlpm.r&lt;&gt;999.99),1),IFERROR(_xlpm.m,999.99))</f>
        <v>43.23</v>
      </c>
      <c r="AD5">
        <v>89136</v>
      </c>
      <c r="AE5" t="s">
        <v>819</v>
      </c>
      <c r="AF5" t="s">
        <v>817</v>
      </c>
      <c r="AG5" t="e">
        <f>_xlfn.XLOOKUP(Table124161167192[[#This Row],[ACA Number]],Table1221[NAT Number],Table1221[TT race points])</f>
        <v>#N/A</v>
      </c>
      <c r="AH5" t="e">
        <f>_xlfn.XLOOKUP(Table124161167192[[#This Row],[ACA Number]],Table122128[NAT Number],Table122128[TT race points])</f>
        <v>#N/A</v>
      </c>
      <c r="AI5">
        <f>_xlfn.XLOOKUP(Table124161167192[[#This Row],[ACA Number]],Table122110193446587082[NAT Number],Table122110193446587082[TT race points])</f>
        <v>95.63</v>
      </c>
      <c r="AJ5" cm="1">
        <f t="array" ref="AJ5">_xlfn.LET(_xlpm.r,Table124161167192[[#This Row],[PM SL1]:[MF SL]],_xlpm.m,_xlfn.AGGREGATE(15,6,_xlpm.r/(_xlpm.r&lt;&gt;999.99),1),IFERROR(_xlpm.m,999.99))</f>
        <v>95.63</v>
      </c>
      <c r="AK5" cm="1">
        <f t="array" ref="AK5">_xlfn.LET(_xlpm.r,Table124161167192[[#This Row],[PM SL1]:[MF SL]],_xlpm.m,_xlfn.AGGREGATE(15,6,_xlpm.r/(_xlpm.r&lt;&gt;999.99),2),IFERROR(_xlpm.m,999.99))</f>
        <v>999.99</v>
      </c>
      <c r="AM5">
        <v>89136</v>
      </c>
      <c r="AN5" t="s">
        <v>819</v>
      </c>
      <c r="AO5" t="s">
        <v>817</v>
      </c>
      <c r="AP5" t="e">
        <f>_xlfn.XLOOKUP(Table125162168193[[#This Row],[ACA Number]],Table1221101934465870100106[NAT Number],Table1221101934465870100106[TT race points])</f>
        <v>#N/A</v>
      </c>
      <c r="AQ5" t="e">
        <f>_xlfn.XLOOKUP(Table125162168193[[#This Row],[ACA Number]],Table1221101934465870100[NAT Number],Table1221101934465870100[TT race points])</f>
        <v>#N/A</v>
      </c>
      <c r="AR5">
        <f>_xlfn.XLOOKUP(Table125162168193[[#This Row],[ACA Number]],Table1221101934465870[NAT Number],Table1221101934465870[TT race points])</f>
        <v>40.18</v>
      </c>
      <c r="AS5" cm="1">
        <f t="array" ref="AS5">_xlfn.LET(_xlpm.r,Table125162168193[[#This Row],[CM GS1]:[MF GS]],_xlpm.m,_xlfn.AGGREGATE(15,6,_xlpm.r/(_xlpm.r&lt;&gt;999.99),1),IFERROR(_xlpm.m,999.99))</f>
        <v>40.18</v>
      </c>
      <c r="AT5" cm="1">
        <f t="array" ref="AT5">_xlfn.LET(_xlpm.r,Table125162168193[[#This Row],[CM GS1]:[MF GS]],_xlpm.m,_xlfn.AGGREGATE(15,6,_xlpm.r/(_xlpm.r&lt;&gt;999.99),2),IFERROR(_xlpm.m,999.99))</f>
        <v>999.99</v>
      </c>
      <c r="AV5">
        <v>91622</v>
      </c>
      <c r="AW5" t="s">
        <v>822</v>
      </c>
      <c r="AX5" t="s">
        <v>817</v>
      </c>
      <c r="AY5">
        <f>_xlfn.XLOOKUP(Table126163169194[[#This Row],[ACA Number]],Table121158164189[ACA Number],Table121158164189[Best 1 run SL race])</f>
        <v>112.87</v>
      </c>
      <c r="AZ5">
        <f>_xlfn.XLOOKUP(Table126163169194[[#This Row],[ACA Number]],Table123160166191[ACA Number],Table123160166191[Best 1 Run])</f>
        <v>81.98</v>
      </c>
      <c r="BA5">
        <f>_xlfn.XLOOKUP(Table126163169194[[#This Row],[ACA Number]],Table122159165190[ACA Number],Table122159165190[Best 1 run GS Race])</f>
        <v>231.9</v>
      </c>
      <c r="BB5">
        <f>_xlfn.XLOOKUP(Table126163169194[[#This Row],[ACA Number]],Table124161167192[ACA Number],Table124161167192[Best result],)</f>
        <v>110.37</v>
      </c>
      <c r="BC5">
        <f>_xlfn.XLOOKUP(Table126163169194[[#This Row],[ACA Number]],Table124161167192[ACA Number],Table124161167192[2nd Best Result])</f>
        <v>136.31</v>
      </c>
      <c r="BD5">
        <f>_xlfn.XLOOKUP(Table126163169194[[#This Row],[ACA Number]],Table125162168193[ACA Number],Table125162168193[Best result])</f>
        <v>75.34</v>
      </c>
      <c r="BE5">
        <f>_xlfn.XLOOKUP(Table126163169194[[#This Row],[ACA Number]],Table125162168193[ACA Number],Table125162168193[2nd Best Result])</f>
        <v>138.37</v>
      </c>
      <c r="BF5">
        <f t="shared" si="0"/>
        <v>887.1400000000001</v>
      </c>
      <c r="BG5">
        <f>_xlfn.RANK.EQ(Table126163169194[[#This Row],[Total Points]],Table126163169194[Total Points],1)</f>
        <v>1</v>
      </c>
    </row>
    <row r="6" spans="1:59" x14ac:dyDescent="0.3">
      <c r="A6">
        <v>85061</v>
      </c>
      <c r="B6" t="s">
        <v>820</v>
      </c>
      <c r="C6" t="s">
        <v>817</v>
      </c>
      <c r="D6">
        <f>_xlfn.XLOOKUP(Table121158164189[[#This Row],[ACA Number]],Table1221[NAT Number],Table1221[run 1 points])</f>
        <v>6.01</v>
      </c>
      <c r="E6">
        <f>_xlfn.XLOOKUP(Table121158164189[[#This Row],[ACA Number]],Table1221[NAT Number],Table1221[run 2 points])</f>
        <v>22.93</v>
      </c>
      <c r="F6">
        <f>_xlfn.XLOOKUP(Table121158164189[[#This Row],[ACA Number]],Table122128[NAT Number],Table122128[run 1 points])</f>
        <v>19.670000000000002</v>
      </c>
      <c r="G6">
        <f>_xlfn.XLOOKUP(Table121158164189[[#This Row],[ACA Number]],Table122128[NAT Number],Table122128[run 2 points])</f>
        <v>22.18</v>
      </c>
      <c r="H6">
        <f>_xlfn.XLOOKUP(Table121158164189[[#This Row],[ACA Number]],Table122110193446587082[NAT Number],Table122110193446587082[run 1 points])</f>
        <v>28.99</v>
      </c>
      <c r="I6">
        <f>_xlfn.XLOOKUP(Table121158164189[[#This Row],[ACA Number]],Table122110193446587082[NAT Number],Table122110193446587082[run 2 points])</f>
        <v>43.54</v>
      </c>
      <c r="J6" cm="1">
        <f t="array" ref="J6">_xlfn.LET(_xlpm.r,Table121158164189[[#This Row],[PM SL1 R1]:[MF SL1 R2]],_xlpm.m,_xlfn.AGGREGATE(15,6,_xlpm.r/(_xlpm.r&lt;&gt;999.99),1),IFERROR(_xlpm.m,999.99))</f>
        <v>6.01</v>
      </c>
      <c r="L6">
        <v>85061</v>
      </c>
      <c r="M6" t="s">
        <v>820</v>
      </c>
      <c r="N6" t="s">
        <v>817</v>
      </c>
      <c r="O6" t="e">
        <f>_xlfn.XLOOKUP(Table122159165190[[#This Row],[ACA Number]],Table1271631[NAT Number],Table1271631[run 1 points])</f>
        <v>#N/A</v>
      </c>
      <c r="P6" t="e">
        <f>_xlfn.XLOOKUP(Table122159165190[[#This Row],[ACA Number]],Table1221101934[NAT Number],Table1221101934[run 1 points])</f>
        <v>#N/A</v>
      </c>
      <c r="Q6" cm="1">
        <f t="array" ref="Q6">_xlfn.LET(_xlpm.r,Table122159165190[[#This Row],[CM SG R1]:[CM SG R2]],_xlpm.m,_xlfn.AGGREGATE(15,6,_xlpm.r/(_xlpm.r&lt;&gt;999.99),1),IFERROR(_xlpm.m,999.99))</f>
        <v>999.99</v>
      </c>
      <c r="S6">
        <v>85061</v>
      </c>
      <c r="T6" t="s">
        <v>820</v>
      </c>
      <c r="U6" t="s">
        <v>817</v>
      </c>
      <c r="V6">
        <f>_xlfn.XLOOKUP(Table123160166191[[#This Row],[ACA Number]],Table1221101934465870100106[NAT Number],Table1221101934465870100106[run 1 points])</f>
        <v>60.62</v>
      </c>
      <c r="W6">
        <f>_xlfn.XLOOKUP(Table123160166191[[#This Row],[ACA Number]],Table1221101934465870100106[NAT Number],Table1221101934465870100106[run 2 points])</f>
        <v>52.09</v>
      </c>
      <c r="X6">
        <f>_xlfn.XLOOKUP(Table123160166191[[#This Row],[ACA Number]],Table1221101934465870100[NAT Number],Table1221101934465870100[run 1 points])</f>
        <v>42.05</v>
      </c>
      <c r="Y6">
        <f>_xlfn.XLOOKUP(Table123160166191[[#This Row],[ACA Number]],Table1221101934465870100[NAT Number],Table1221101934465870100[run 2 points])</f>
        <v>62.17</v>
      </c>
      <c r="Z6">
        <f>_xlfn.XLOOKUP(Table123160166191[[#This Row],[ACA Number]],Table1221101934465870[NAT Number],Table1221101934465870[run 1 points])</f>
        <v>13.58</v>
      </c>
      <c r="AA6">
        <f>_xlfn.XLOOKUP(Table123160166191[[#This Row],[ACA Number]],Table1221101934465870[NAT Number],Table1221101934465870[run 2 points])</f>
        <v>24.13</v>
      </c>
      <c r="AB6" cm="1">
        <f t="array" ref="AB6">_xlfn.LET(_xlpm.r,Table123160166191[[#This Row],[CM GS1 R1]:[MF GS R2]],_xlpm.m,_xlfn.AGGREGATE(15,6,_xlpm.r/(_xlpm.r&lt;&gt;999.99),1),IFERROR(_xlpm.m,999.99))</f>
        <v>13.58</v>
      </c>
      <c r="AD6">
        <v>85061</v>
      </c>
      <c r="AE6" t="s">
        <v>820</v>
      </c>
      <c r="AF6" t="s">
        <v>817</v>
      </c>
      <c r="AG6">
        <f>_xlfn.XLOOKUP(Table124161167192[[#This Row],[ACA Number]],Table1221[NAT Number],Table1221[TT race points])</f>
        <v>14.3</v>
      </c>
      <c r="AH6">
        <f>_xlfn.XLOOKUP(Table124161167192[[#This Row],[ACA Number]],Table122128[NAT Number],Table122128[TT race points])</f>
        <v>17.43</v>
      </c>
      <c r="AI6">
        <f>_xlfn.XLOOKUP(Table124161167192[[#This Row],[ACA Number]],Table122110193446587082[NAT Number],Table122110193446587082[TT race points])</f>
        <v>18.88</v>
      </c>
      <c r="AJ6" cm="1">
        <f t="array" ref="AJ6">_xlfn.LET(_xlpm.r,Table124161167192[[#This Row],[PM SL1]:[MF SL]],_xlpm.m,_xlfn.AGGREGATE(15,6,_xlpm.r/(_xlpm.r&lt;&gt;999.99),1),IFERROR(_xlpm.m,999.99))</f>
        <v>14.3</v>
      </c>
      <c r="AK6" cm="1">
        <f t="array" ref="AK6">_xlfn.LET(_xlpm.r,Table124161167192[[#This Row],[PM SL1]:[MF SL]],_xlpm.m,_xlfn.AGGREGATE(15,6,_xlpm.r/(_xlpm.r&lt;&gt;999.99),2),IFERROR(_xlpm.m,999.99))</f>
        <v>17.43</v>
      </c>
      <c r="AM6">
        <v>85061</v>
      </c>
      <c r="AN6" t="s">
        <v>820</v>
      </c>
      <c r="AO6" t="s">
        <v>817</v>
      </c>
      <c r="AP6">
        <f>_xlfn.XLOOKUP(Table125162168193[[#This Row],[ACA Number]],Table1221101934465870100106[NAT Number],Table1221101934465870100106[TT race points])</f>
        <v>56.2</v>
      </c>
      <c r="AQ6">
        <f>_xlfn.XLOOKUP(Table125162168193[[#This Row],[ACA Number]],Table1221101934465870100[NAT Number],Table1221101934465870100[TT race points])</f>
        <v>51.83</v>
      </c>
      <c r="AR6">
        <f>_xlfn.XLOOKUP(Table125162168193[[#This Row],[ACA Number]],Table1221101934465870[NAT Number],Table1221101934465870[TT race points])</f>
        <v>11.8</v>
      </c>
      <c r="AS6" cm="1">
        <f t="array" ref="AS6">_xlfn.LET(_xlpm.r,Table125162168193[[#This Row],[CM GS1]:[MF GS]],_xlpm.m,_xlfn.AGGREGATE(15,6,_xlpm.r/(_xlpm.r&lt;&gt;999.99),1),IFERROR(_xlpm.m,999.99))</f>
        <v>11.8</v>
      </c>
      <c r="AT6" cm="1">
        <f t="array" ref="AT6">_xlfn.LET(_xlpm.r,Table125162168193[[#This Row],[CM GS1]:[MF GS]],_xlpm.m,_xlfn.AGGREGATE(15,6,_xlpm.r/(_xlpm.r&lt;&gt;999.99),2),IFERROR(_xlpm.m,999.99))</f>
        <v>51.83</v>
      </c>
      <c r="AV6">
        <v>109211</v>
      </c>
      <c r="AW6" t="s">
        <v>823</v>
      </c>
      <c r="AX6" t="s">
        <v>817</v>
      </c>
      <c r="AY6">
        <f>_xlfn.XLOOKUP(Table126163169194[[#This Row],[ACA Number]],Table121158164189[ACA Number],Table121158164189[Best 1 run SL race])</f>
        <v>83.49</v>
      </c>
      <c r="AZ6">
        <f>_xlfn.XLOOKUP(Table126163169194[[#This Row],[ACA Number]],Table123160166191[ACA Number],Table123160166191[Best 1 Run])</f>
        <v>99.61</v>
      </c>
      <c r="BA6">
        <f>_xlfn.XLOOKUP(Table126163169194[[#This Row],[ACA Number]],Table122159165190[ACA Number],Table122159165190[Best 1 run GS Race])</f>
        <v>203.01</v>
      </c>
      <c r="BB6">
        <f>_xlfn.XLOOKUP(Table126163169194[[#This Row],[ACA Number]],Table124161167192[ACA Number],Table124161167192[Best result],)</f>
        <v>103.35</v>
      </c>
      <c r="BC6">
        <f>_xlfn.XLOOKUP(Table126163169194[[#This Row],[ACA Number]],Table124161167192[ACA Number],Table124161167192[2nd Best Result])</f>
        <v>999.99</v>
      </c>
      <c r="BD6">
        <f>_xlfn.XLOOKUP(Table126163169194[[#This Row],[ACA Number]],Table125162168193[ACA Number],Table125162168193[Best result])</f>
        <v>999.99</v>
      </c>
      <c r="BE6">
        <f>_xlfn.XLOOKUP(Table126163169194[[#This Row],[ACA Number]],Table125162168193[ACA Number],Table125162168193[2nd Best Result])</f>
        <v>999.99</v>
      </c>
      <c r="BF6">
        <f t="shared" si="0"/>
        <v>3489.4300000000003</v>
      </c>
      <c r="BG6">
        <f>_xlfn.RANK.EQ(Table126163169194[[#This Row],[Total Points]],Table126163169194[Total Points],1)</f>
        <v>5</v>
      </c>
    </row>
    <row r="7" spans="1:59" x14ac:dyDescent="0.3">
      <c r="A7">
        <v>86514</v>
      </c>
      <c r="B7" t="s">
        <v>821</v>
      </c>
      <c r="C7" t="s">
        <v>817</v>
      </c>
      <c r="D7" t="e">
        <f>_xlfn.XLOOKUP(Table121158164189[[#This Row],[ACA Number]],Table1221[NAT Number],Table1221[run 1 points])</f>
        <v>#N/A</v>
      </c>
      <c r="E7" t="e">
        <f>_xlfn.XLOOKUP(Table121158164189[[#This Row],[ACA Number]],Table1221[NAT Number],Table1221[run 2 points])</f>
        <v>#N/A</v>
      </c>
      <c r="F7" t="e">
        <f>_xlfn.XLOOKUP(Table121158164189[[#This Row],[ACA Number]],Table122128[NAT Number],Table122128[run 1 points])</f>
        <v>#N/A</v>
      </c>
      <c r="G7" t="e">
        <f>_xlfn.XLOOKUP(Table121158164189[[#This Row],[ACA Number]],Table122128[NAT Number],Table122128[run 2 points])</f>
        <v>#N/A</v>
      </c>
      <c r="H7" t="e">
        <f>_xlfn.XLOOKUP(Table121158164189[[#This Row],[ACA Number]],Table122110193446587082[NAT Number],Table122110193446587082[run 1 points])</f>
        <v>#N/A</v>
      </c>
      <c r="I7" t="e">
        <f>_xlfn.XLOOKUP(Table121158164189[[#This Row],[ACA Number]],Table122110193446587082[NAT Number],Table122110193446587082[run 2 points])</f>
        <v>#N/A</v>
      </c>
      <c r="J7" cm="1">
        <f t="array" ref="J7">_xlfn.LET(_xlpm.r,Table121158164189[[#This Row],[PM SL1 R1]:[MF SL1 R2]],_xlpm.m,_xlfn.AGGREGATE(15,6,_xlpm.r/(_xlpm.r&lt;&gt;999.99),1),IFERROR(_xlpm.m,999.99))</f>
        <v>999.99</v>
      </c>
      <c r="L7">
        <v>86514</v>
      </c>
      <c r="M7" t="s">
        <v>821</v>
      </c>
      <c r="N7" t="s">
        <v>817</v>
      </c>
      <c r="O7" t="e">
        <f>_xlfn.XLOOKUP(Table122159165190[[#This Row],[ACA Number]],Table1271631[NAT Number],Table1271631[run 1 points])</f>
        <v>#N/A</v>
      </c>
      <c r="P7" t="e">
        <f>_xlfn.XLOOKUP(Table122159165190[[#This Row],[ACA Number]],Table1221101934[NAT Number],Table1221101934[run 1 points])</f>
        <v>#N/A</v>
      </c>
      <c r="Q7" cm="1">
        <f t="array" ref="Q7">_xlfn.LET(_xlpm.r,Table122159165190[[#This Row],[CM SG R1]:[CM SG R2]],_xlpm.m,_xlfn.AGGREGATE(15,6,_xlpm.r/(_xlpm.r&lt;&gt;999.99),1),IFERROR(_xlpm.m,999.99))</f>
        <v>999.99</v>
      </c>
      <c r="S7">
        <v>86514</v>
      </c>
      <c r="T7" t="s">
        <v>821</v>
      </c>
      <c r="U7" t="s">
        <v>817</v>
      </c>
      <c r="V7" t="e">
        <f>_xlfn.XLOOKUP(Table123160166191[[#This Row],[ACA Number]],Table1221101934465870100106[NAT Number],Table1221101934465870100106[run 1 points])</f>
        <v>#N/A</v>
      </c>
      <c r="W7" t="e">
        <f>_xlfn.XLOOKUP(Table123160166191[[#This Row],[ACA Number]],Table1221101934465870100106[NAT Number],Table1221101934465870100106[run 2 points])</f>
        <v>#N/A</v>
      </c>
      <c r="X7" t="e">
        <f>_xlfn.XLOOKUP(Table123160166191[[#This Row],[ACA Number]],Table1221101934465870100[NAT Number],Table1221101934465870100[run 1 points])</f>
        <v>#N/A</v>
      </c>
      <c r="Y7" t="e">
        <f>_xlfn.XLOOKUP(Table123160166191[[#This Row],[ACA Number]],Table1221101934465870100[NAT Number],Table1221101934465870100[run 2 points])</f>
        <v>#N/A</v>
      </c>
      <c r="Z7" t="e">
        <f>_xlfn.XLOOKUP(Table123160166191[[#This Row],[ACA Number]],Table1221101934465870[NAT Number],Table1221101934465870[run 1 points])</f>
        <v>#N/A</v>
      </c>
      <c r="AA7" t="e">
        <f>_xlfn.XLOOKUP(Table123160166191[[#This Row],[ACA Number]],Table1221101934465870[NAT Number],Table1221101934465870[run 2 points])</f>
        <v>#N/A</v>
      </c>
      <c r="AB7" cm="1">
        <f t="array" ref="AB7">_xlfn.LET(_xlpm.r,Table123160166191[[#This Row],[CM GS1 R1]:[MF GS R2]],_xlpm.m,_xlfn.AGGREGATE(15,6,_xlpm.r/(_xlpm.r&lt;&gt;999.99),1),IFERROR(_xlpm.m,999.99))</f>
        <v>999.99</v>
      </c>
      <c r="AD7">
        <v>86514</v>
      </c>
      <c r="AE7" t="s">
        <v>821</v>
      </c>
      <c r="AF7" t="s">
        <v>817</v>
      </c>
      <c r="AG7" t="e">
        <f>_xlfn.XLOOKUP(Table124161167192[[#This Row],[ACA Number]],Table1221[NAT Number],Table1221[TT race points])</f>
        <v>#N/A</v>
      </c>
      <c r="AH7" t="e">
        <f>_xlfn.XLOOKUP(Table124161167192[[#This Row],[ACA Number]],Table122128[NAT Number],Table122128[TT race points])</f>
        <v>#N/A</v>
      </c>
      <c r="AI7" t="e">
        <f>_xlfn.XLOOKUP(Table124161167192[[#This Row],[ACA Number]],Table122110193446587082[NAT Number],Table122110193446587082[TT race points])</f>
        <v>#N/A</v>
      </c>
      <c r="AJ7" cm="1">
        <f t="array" ref="AJ7">_xlfn.LET(_xlpm.r,Table124161167192[[#This Row],[PM SL1]:[MF SL]],_xlpm.m,_xlfn.AGGREGATE(15,6,_xlpm.r/(_xlpm.r&lt;&gt;999.99),1),IFERROR(_xlpm.m,999.99))</f>
        <v>999.99</v>
      </c>
      <c r="AK7" cm="1">
        <f t="array" ref="AK7">_xlfn.LET(_xlpm.r,Table124161167192[[#This Row],[PM SL1]:[MF SL]],_xlpm.m,_xlfn.AGGREGATE(15,6,_xlpm.r/(_xlpm.r&lt;&gt;999.99),2),IFERROR(_xlpm.m,999.99))</f>
        <v>999.99</v>
      </c>
      <c r="AM7">
        <v>86514</v>
      </c>
      <c r="AN7" t="s">
        <v>821</v>
      </c>
      <c r="AO7" t="s">
        <v>817</v>
      </c>
      <c r="AP7" t="e">
        <f>_xlfn.XLOOKUP(Table125162168193[[#This Row],[ACA Number]],Table1221101934465870100106[NAT Number],Table1221101934465870100106[TT race points])</f>
        <v>#N/A</v>
      </c>
      <c r="AQ7" t="e">
        <f>_xlfn.XLOOKUP(Table125162168193[[#This Row],[ACA Number]],Table1221101934465870100[NAT Number],Table1221101934465870100[TT race points])</f>
        <v>#N/A</v>
      </c>
      <c r="AR7" t="e">
        <f>_xlfn.XLOOKUP(Table125162168193[[#This Row],[ACA Number]],Table1221101934465870[NAT Number],Table1221101934465870[TT race points])</f>
        <v>#N/A</v>
      </c>
      <c r="AS7" cm="1">
        <f t="array" ref="AS7">_xlfn.LET(_xlpm.r,Table125162168193[[#This Row],[CM GS1]:[MF GS]],_xlpm.m,_xlfn.AGGREGATE(15,6,_xlpm.r/(_xlpm.r&lt;&gt;999.99),1),IFERROR(_xlpm.m,999.99))</f>
        <v>999.99</v>
      </c>
      <c r="AT7" cm="1">
        <f t="array" ref="AT7">_xlfn.LET(_xlpm.r,Table125162168193[[#This Row],[CM GS1]:[MF GS]],_xlpm.m,_xlfn.AGGREGATE(15,6,_xlpm.r/(_xlpm.r&lt;&gt;999.99),2),IFERROR(_xlpm.m,999.99))</f>
        <v>999.99</v>
      </c>
      <c r="AV7">
        <v>85643</v>
      </c>
      <c r="AW7" t="s">
        <v>816</v>
      </c>
      <c r="AX7" t="s">
        <v>817</v>
      </c>
      <c r="AY7">
        <f>_xlfn.XLOOKUP(Table126163169194[[#This Row],[ACA Number]],Table121158164189[ACA Number],Table121158164189[Best 1 run SL race])</f>
        <v>999.99</v>
      </c>
      <c r="AZ7">
        <f>_xlfn.XLOOKUP(Table126163169194[[#This Row],[ACA Number]],Table123160166191[ACA Number],Table123160166191[Best 1 Run])</f>
        <v>999.99</v>
      </c>
      <c r="BA7">
        <f>_xlfn.XLOOKUP(Table126163169194[[#This Row],[ACA Number]],Table122159165190[ACA Number],Table122159165190[Best 1 run GS Race])</f>
        <v>999.99</v>
      </c>
      <c r="BB7">
        <f>_xlfn.XLOOKUP(Table126163169194[[#This Row],[ACA Number]],Table124161167192[ACA Number],Table124161167192[Best result],)</f>
        <v>999.99</v>
      </c>
      <c r="BC7">
        <f>_xlfn.XLOOKUP(Table126163169194[[#This Row],[ACA Number]],Table124161167192[ACA Number],Table124161167192[2nd Best Result])</f>
        <v>999.99</v>
      </c>
      <c r="BD7">
        <f>_xlfn.XLOOKUP(Table126163169194[[#This Row],[ACA Number]],Table125162168193[ACA Number],Table125162168193[Best result])</f>
        <v>999.99</v>
      </c>
      <c r="BE7">
        <f>_xlfn.XLOOKUP(Table126163169194[[#This Row],[ACA Number]],Table125162168193[ACA Number],Table125162168193[2nd Best Result])</f>
        <v>999.99</v>
      </c>
      <c r="BF7">
        <f t="shared" si="0"/>
        <v>6999.9299999999994</v>
      </c>
      <c r="BG7">
        <f>_xlfn.RANK.EQ(Table126163169194[[#This Row],[Total Points]],Table126163169194[Total Points],1)</f>
        <v>6</v>
      </c>
    </row>
    <row r="8" spans="1:59" x14ac:dyDescent="0.3">
      <c r="A8">
        <v>91622</v>
      </c>
      <c r="B8" t="s">
        <v>822</v>
      </c>
      <c r="C8" t="s">
        <v>817</v>
      </c>
      <c r="D8">
        <f>_xlfn.XLOOKUP(Table121158164189[[#This Row],[ACA Number]],Table1221[NAT Number],Table1221[run 1 points])</f>
        <v>112.87</v>
      </c>
      <c r="E8">
        <f>_xlfn.XLOOKUP(Table121158164189[[#This Row],[ACA Number]],Table1221[NAT Number],Table1221[run 2 points])</f>
        <v>999.99</v>
      </c>
      <c r="F8">
        <f>_xlfn.XLOOKUP(Table121158164189[[#This Row],[ACA Number]],Table122128[NAT Number],Table122128[run 1 points])</f>
        <v>140.9</v>
      </c>
      <c r="G8">
        <f>_xlfn.XLOOKUP(Table121158164189[[#This Row],[ACA Number]],Table122128[NAT Number],Table122128[run 2 points])</f>
        <v>139.54</v>
      </c>
      <c r="H8">
        <f>_xlfn.XLOOKUP(Table121158164189[[#This Row],[ACA Number]],Table122110193446587082[NAT Number],Table122110193446587082[run 1 points])</f>
        <v>118.94</v>
      </c>
      <c r="I8">
        <f>_xlfn.XLOOKUP(Table121158164189[[#This Row],[ACA Number]],Table122110193446587082[NAT Number],Table122110193446587082[run 2 points])</f>
        <v>140.72</v>
      </c>
      <c r="J8" cm="1">
        <f t="array" ref="J8">_xlfn.LET(_xlpm.r,Table121158164189[[#This Row],[PM SL1 R1]:[MF SL1 R2]],_xlpm.m,_xlfn.AGGREGATE(15,6,_xlpm.r/(_xlpm.r&lt;&gt;999.99),1),IFERROR(_xlpm.m,999.99))</f>
        <v>112.87</v>
      </c>
      <c r="L8">
        <v>91622</v>
      </c>
      <c r="M8" t="s">
        <v>822</v>
      </c>
      <c r="N8" t="s">
        <v>817</v>
      </c>
      <c r="O8">
        <f>_xlfn.XLOOKUP(Table122159165190[[#This Row],[ACA Number]],Table1271631[NAT Number],Table1271631[run 1 points])</f>
        <v>231.9</v>
      </c>
      <c r="P8">
        <f>_xlfn.XLOOKUP(Table122159165190[[#This Row],[ACA Number]],Table1221101934[NAT Number],Table1221101934[run 1 points])</f>
        <v>301.73</v>
      </c>
      <c r="Q8" cm="1">
        <f t="array" ref="Q8">_xlfn.LET(_xlpm.r,Table122159165190[[#This Row],[CM SG R1]:[CM SG R2]],_xlpm.m,_xlfn.AGGREGATE(15,6,_xlpm.r/(_xlpm.r&lt;&gt;999.99),1),IFERROR(_xlpm.m,999.99))</f>
        <v>231.9</v>
      </c>
      <c r="S8">
        <v>91622</v>
      </c>
      <c r="T8" t="s">
        <v>822</v>
      </c>
      <c r="U8" t="s">
        <v>817</v>
      </c>
      <c r="V8">
        <f>_xlfn.XLOOKUP(Table123160166191[[#This Row],[ACA Number]],Table1221101934465870100106[NAT Number],Table1221101934465870100106[run 1 points])</f>
        <v>138.61000000000001</v>
      </c>
      <c r="W8">
        <f>_xlfn.XLOOKUP(Table123160166191[[#This Row],[ACA Number]],Table1221101934465870100106[NAT Number],Table1221101934465870100106[run 2 points])</f>
        <v>138.13999999999999</v>
      </c>
      <c r="X8">
        <f>_xlfn.XLOOKUP(Table123160166191[[#This Row],[ACA Number]],Table1221101934465870100[NAT Number],Table1221101934465870100[run 1 points])</f>
        <v>150.51</v>
      </c>
      <c r="Y8">
        <f>_xlfn.XLOOKUP(Table123160166191[[#This Row],[ACA Number]],Table1221101934465870100[NAT Number],Table1221101934465870100[run 2 points])</f>
        <v>999.99</v>
      </c>
      <c r="Z8">
        <f>_xlfn.XLOOKUP(Table123160166191[[#This Row],[ACA Number]],Table1221101934465870[NAT Number],Table1221101934465870[run 1 points])</f>
        <v>81.98</v>
      </c>
      <c r="AA8">
        <f>_xlfn.XLOOKUP(Table123160166191[[#This Row],[ACA Number]],Table1221101934465870[NAT Number],Table1221101934465870[run 2 points])</f>
        <v>84.38</v>
      </c>
      <c r="AB8" cm="1">
        <f t="array" ref="AB8">_xlfn.LET(_xlpm.r,Table123160166191[[#This Row],[CM GS1 R1]:[MF GS R2]],_xlpm.m,_xlfn.AGGREGATE(15,6,_xlpm.r/(_xlpm.r&lt;&gt;999.99),1),IFERROR(_xlpm.m,999.99))</f>
        <v>81.98</v>
      </c>
      <c r="AD8">
        <v>91622</v>
      </c>
      <c r="AE8" t="s">
        <v>822</v>
      </c>
      <c r="AF8" t="s">
        <v>817</v>
      </c>
      <c r="AG8">
        <f>_xlfn.XLOOKUP(Table124161167192[[#This Row],[ACA Number]],Table1221[NAT Number],Table1221[TT race points])</f>
        <v>999.99</v>
      </c>
      <c r="AH8">
        <f>_xlfn.XLOOKUP(Table124161167192[[#This Row],[ACA Number]],Table122128[NAT Number],Table122128[TT race points])</f>
        <v>136.31</v>
      </c>
      <c r="AI8">
        <f>_xlfn.XLOOKUP(Table124161167192[[#This Row],[ACA Number]],Table122110193446587082[NAT Number],Table122110193446587082[TT race points])</f>
        <v>110.37</v>
      </c>
      <c r="AJ8" cm="1">
        <f t="array" ref="AJ8">_xlfn.LET(_xlpm.r,Table124161167192[[#This Row],[PM SL1]:[MF SL]],_xlpm.m,_xlfn.AGGREGATE(15,6,_xlpm.r/(_xlpm.r&lt;&gt;999.99),1),IFERROR(_xlpm.m,999.99))</f>
        <v>110.37</v>
      </c>
      <c r="AK8" cm="1">
        <f t="array" ref="AK8">_xlfn.LET(_xlpm.r,Table124161167192[[#This Row],[PM SL1]:[MF SL]],_xlpm.m,_xlfn.AGGREGATE(15,6,_xlpm.r/(_xlpm.r&lt;&gt;999.99),2),IFERROR(_xlpm.m,999.99))</f>
        <v>136.31</v>
      </c>
      <c r="AM8">
        <v>91622</v>
      </c>
      <c r="AN8" t="s">
        <v>822</v>
      </c>
      <c r="AO8" t="s">
        <v>817</v>
      </c>
      <c r="AP8">
        <f>_xlfn.XLOOKUP(Table125162168193[[#This Row],[ACA Number]],Table1221101934465870100106[NAT Number],Table1221101934465870100106[TT race points])</f>
        <v>138.37</v>
      </c>
      <c r="AQ8">
        <f>_xlfn.XLOOKUP(Table125162168193[[#This Row],[ACA Number]],Table1221101934465870100[NAT Number],Table1221101934465870100[TT race points])</f>
        <v>999.99</v>
      </c>
      <c r="AR8">
        <f>_xlfn.XLOOKUP(Table125162168193[[#This Row],[ACA Number]],Table1221101934465870[NAT Number],Table1221101934465870[TT race points])</f>
        <v>75.34</v>
      </c>
      <c r="AS8" cm="1">
        <f t="array" ref="AS8">_xlfn.LET(_xlpm.r,Table125162168193[[#This Row],[CM GS1]:[MF GS]],_xlpm.m,_xlfn.AGGREGATE(15,6,_xlpm.r/(_xlpm.r&lt;&gt;999.99),1),IFERROR(_xlpm.m,999.99))</f>
        <v>75.34</v>
      </c>
      <c r="AT8" cm="1">
        <f t="array" ref="AT8">_xlfn.LET(_xlpm.r,Table125162168193[[#This Row],[CM GS1]:[MF GS]],_xlpm.m,_xlfn.AGGREGATE(15,6,_xlpm.r/(_xlpm.r&lt;&gt;999.99),2),IFERROR(_xlpm.m,999.99))</f>
        <v>138.37</v>
      </c>
      <c r="AV8">
        <v>84482</v>
      </c>
      <c r="AW8" t="s">
        <v>818</v>
      </c>
      <c r="AX8" t="s">
        <v>817</v>
      </c>
      <c r="AY8">
        <f>_xlfn.XLOOKUP(Table126163169194[[#This Row],[ACA Number]],Table121158164189[ACA Number],Table121158164189[Best 1 run SL race])</f>
        <v>999.99</v>
      </c>
      <c r="AZ8">
        <f>_xlfn.XLOOKUP(Table126163169194[[#This Row],[ACA Number]],Table123160166191[ACA Number],Table123160166191[Best 1 Run])</f>
        <v>999.99</v>
      </c>
      <c r="BA8">
        <f>_xlfn.XLOOKUP(Table126163169194[[#This Row],[ACA Number]],Table122159165190[ACA Number],Table122159165190[Best 1 run GS Race])</f>
        <v>999.99</v>
      </c>
      <c r="BB8">
        <f>_xlfn.XLOOKUP(Table126163169194[[#This Row],[ACA Number]],Table124161167192[ACA Number],Table124161167192[Best result],)</f>
        <v>999.99</v>
      </c>
      <c r="BC8">
        <f>_xlfn.XLOOKUP(Table126163169194[[#This Row],[ACA Number]],Table124161167192[ACA Number],Table124161167192[2nd Best Result])</f>
        <v>999.99</v>
      </c>
      <c r="BD8">
        <f>_xlfn.XLOOKUP(Table126163169194[[#This Row],[ACA Number]],Table125162168193[ACA Number],Table125162168193[Best result])</f>
        <v>999.99</v>
      </c>
      <c r="BE8">
        <f>_xlfn.XLOOKUP(Table126163169194[[#This Row],[ACA Number]],Table125162168193[ACA Number],Table125162168193[2nd Best Result])</f>
        <v>999.99</v>
      </c>
      <c r="BF8">
        <f t="shared" si="0"/>
        <v>6999.9299999999994</v>
      </c>
      <c r="BG8">
        <f>_xlfn.RANK.EQ(Table126163169194[[#This Row],[Total Points]],Table126163169194[Total Points],1)</f>
        <v>6</v>
      </c>
    </row>
    <row r="9" spans="1:59" x14ac:dyDescent="0.3">
      <c r="A9">
        <v>109211</v>
      </c>
      <c r="B9" t="s">
        <v>823</v>
      </c>
      <c r="C9" t="s">
        <v>817</v>
      </c>
      <c r="D9">
        <f>_xlfn.XLOOKUP(Table121158164189[[#This Row],[ACA Number]],Table1221[NAT Number],Table1221[run 1 points])</f>
        <v>83.49</v>
      </c>
      <c r="E9">
        <f>_xlfn.XLOOKUP(Table121158164189[[#This Row],[ACA Number]],Table1221[NAT Number],Table1221[run 2 points])</f>
        <v>124.01</v>
      </c>
      <c r="F9">
        <f>_xlfn.XLOOKUP(Table121158164189[[#This Row],[ACA Number]],Table122128[NAT Number],Table122128[run 1 points])</f>
        <v>999.99</v>
      </c>
      <c r="G9">
        <f>_xlfn.XLOOKUP(Table121158164189[[#This Row],[ACA Number]],Table122128[NAT Number],Table122128[run 2 points])</f>
        <v>140.37</v>
      </c>
      <c r="H9" t="e">
        <f>_xlfn.XLOOKUP(Table121158164189[[#This Row],[ACA Number]],Table122110193446587082[NAT Number],Table122110193446587082[run 1 points])</f>
        <v>#N/A</v>
      </c>
      <c r="I9" t="e">
        <f>_xlfn.XLOOKUP(Table121158164189[[#This Row],[ACA Number]],Table122110193446587082[NAT Number],Table122110193446587082[run 2 points])</f>
        <v>#N/A</v>
      </c>
      <c r="J9" cm="1">
        <f t="array" ref="J9">_xlfn.LET(_xlpm.r,Table121158164189[[#This Row],[PM SL1 R1]:[MF SL1 R2]],_xlpm.m,_xlfn.AGGREGATE(15,6,_xlpm.r/(_xlpm.r&lt;&gt;999.99),1),IFERROR(_xlpm.m,999.99))</f>
        <v>83.49</v>
      </c>
      <c r="L9">
        <v>109211</v>
      </c>
      <c r="M9" t="s">
        <v>823</v>
      </c>
      <c r="N9" t="s">
        <v>817</v>
      </c>
      <c r="O9">
        <f>_xlfn.XLOOKUP(Table122159165190[[#This Row],[ACA Number]],Table1271631[NAT Number],Table1271631[run 1 points])</f>
        <v>204.43</v>
      </c>
      <c r="P9">
        <f>_xlfn.XLOOKUP(Table122159165190[[#This Row],[ACA Number]],Table1221101934[NAT Number],Table1221101934[run 1 points])</f>
        <v>203.01</v>
      </c>
      <c r="Q9" cm="1">
        <f t="array" ref="Q9">_xlfn.LET(_xlpm.r,Table122159165190[[#This Row],[CM SG R1]:[CM SG R2]],_xlpm.m,_xlfn.AGGREGATE(15,6,_xlpm.r/(_xlpm.r&lt;&gt;999.99),1),IFERROR(_xlpm.m,999.99))</f>
        <v>203.01</v>
      </c>
      <c r="S9">
        <v>109211</v>
      </c>
      <c r="T9" t="s">
        <v>823</v>
      </c>
      <c r="U9" t="s">
        <v>817</v>
      </c>
      <c r="V9">
        <f>_xlfn.XLOOKUP(Table123160166191[[#This Row],[ACA Number]],Table1221101934465870100106[NAT Number],Table1221101934465870100106[run 1 points])</f>
        <v>99.61</v>
      </c>
      <c r="W9">
        <f>_xlfn.XLOOKUP(Table123160166191[[#This Row],[ACA Number]],Table1221101934465870100106[NAT Number],Table1221101934465870100106[run 2 points])</f>
        <v>999.99</v>
      </c>
      <c r="X9">
        <f>_xlfn.XLOOKUP(Table123160166191[[#This Row],[ACA Number]],Table1221101934465870100[NAT Number],Table1221101934465870100[run 1 points])</f>
        <v>999.99</v>
      </c>
      <c r="Y9">
        <f>_xlfn.XLOOKUP(Table123160166191[[#This Row],[ACA Number]],Table1221101934465870100[NAT Number],Table1221101934465870100[run 2 points])</f>
        <v>999.99</v>
      </c>
      <c r="Z9" t="e">
        <f>_xlfn.XLOOKUP(Table123160166191[[#This Row],[ACA Number]],Table1221101934465870[NAT Number],Table1221101934465870[run 1 points])</f>
        <v>#N/A</v>
      </c>
      <c r="AA9" t="e">
        <f>_xlfn.XLOOKUP(Table123160166191[[#This Row],[ACA Number]],Table1221101934465870[NAT Number],Table1221101934465870[run 2 points])</f>
        <v>#N/A</v>
      </c>
      <c r="AB9" cm="1">
        <f t="array" ref="AB9">_xlfn.LET(_xlpm.r,Table123160166191[[#This Row],[CM GS1 R1]:[MF GS R2]],_xlpm.m,_xlfn.AGGREGATE(15,6,_xlpm.r/(_xlpm.r&lt;&gt;999.99),1),IFERROR(_xlpm.m,999.99))</f>
        <v>99.61</v>
      </c>
      <c r="AD9">
        <v>109211</v>
      </c>
      <c r="AE9" t="s">
        <v>823</v>
      </c>
      <c r="AF9" t="s">
        <v>817</v>
      </c>
      <c r="AG9">
        <f>_xlfn.XLOOKUP(Table124161167192[[#This Row],[ACA Number]],Table1221[NAT Number],Table1221[TT race points])</f>
        <v>103.35</v>
      </c>
      <c r="AH9">
        <f>_xlfn.XLOOKUP(Table124161167192[[#This Row],[ACA Number]],Table122128[NAT Number],Table122128[TT race points])</f>
        <v>999.99</v>
      </c>
      <c r="AI9" t="e">
        <f>_xlfn.XLOOKUP(Table124161167192[[#This Row],[ACA Number]],Table122110193446587082[NAT Number],Table122110193446587082[TT race points])</f>
        <v>#N/A</v>
      </c>
      <c r="AJ9" cm="1">
        <f t="array" ref="AJ9">_xlfn.LET(_xlpm.r,Table124161167192[[#This Row],[PM SL1]:[MF SL]],_xlpm.m,_xlfn.AGGREGATE(15,6,_xlpm.r/(_xlpm.r&lt;&gt;999.99),1),IFERROR(_xlpm.m,999.99))</f>
        <v>103.35</v>
      </c>
      <c r="AK9" cm="1">
        <f t="array" ref="AK9">_xlfn.LET(_xlpm.r,Table124161167192[[#This Row],[PM SL1]:[MF SL]],_xlpm.m,_xlfn.AGGREGATE(15,6,_xlpm.r/(_xlpm.r&lt;&gt;999.99),2),IFERROR(_xlpm.m,999.99))</f>
        <v>999.99</v>
      </c>
      <c r="AM9">
        <v>109211</v>
      </c>
      <c r="AN9" t="s">
        <v>823</v>
      </c>
      <c r="AO9" t="s">
        <v>817</v>
      </c>
      <c r="AP9">
        <f>_xlfn.XLOOKUP(Table125162168193[[#This Row],[ACA Number]],Table1221101934465870100106[NAT Number],Table1221101934465870100106[TT race points])</f>
        <v>999.99</v>
      </c>
      <c r="AQ9">
        <f>_xlfn.XLOOKUP(Table125162168193[[#This Row],[ACA Number]],Table1221101934465870100[NAT Number],Table1221101934465870100[TT race points])</f>
        <v>999.99</v>
      </c>
      <c r="AR9" t="e">
        <f>_xlfn.XLOOKUP(Table125162168193[[#This Row],[ACA Number]],Table1221101934465870[NAT Number],Table1221101934465870[TT race points])</f>
        <v>#N/A</v>
      </c>
      <c r="AS9" cm="1">
        <f t="array" ref="AS9">_xlfn.LET(_xlpm.r,Table125162168193[[#This Row],[CM GS1]:[MF GS]],_xlpm.m,_xlfn.AGGREGATE(15,6,_xlpm.r/(_xlpm.r&lt;&gt;999.99),1),IFERROR(_xlpm.m,999.99))</f>
        <v>999.99</v>
      </c>
      <c r="AT9" cm="1">
        <f t="array" ref="AT9">_xlfn.LET(_xlpm.r,Table125162168193[[#This Row],[CM GS1]:[MF GS]],_xlpm.m,_xlfn.AGGREGATE(15,6,_xlpm.r/(_xlpm.r&lt;&gt;999.99),2),IFERROR(_xlpm.m,999.99))</f>
        <v>999.99</v>
      </c>
      <c r="AV9">
        <v>89136</v>
      </c>
      <c r="AW9" t="s">
        <v>819</v>
      </c>
      <c r="AX9" t="s">
        <v>817</v>
      </c>
      <c r="AY9">
        <f>_xlfn.XLOOKUP(Table126163169194[[#This Row],[ACA Number]],Table121158164189[ACA Number],Table121158164189[Best 1 run SL race])</f>
        <v>86.23</v>
      </c>
      <c r="AZ9">
        <f>_xlfn.XLOOKUP(Table126163169194[[#This Row],[ACA Number]],Table123160166191[ACA Number],Table123160166191[Best 1 Run])</f>
        <v>43.23</v>
      </c>
      <c r="BA9">
        <f>_xlfn.XLOOKUP(Table126163169194[[#This Row],[ACA Number]],Table122159165190[ACA Number],Table122159165190[Best 1 run GS Race])</f>
        <v>999.99</v>
      </c>
      <c r="BB9">
        <f>_xlfn.XLOOKUP(Table126163169194[[#This Row],[ACA Number]],Table124161167192[ACA Number],Table124161167192[Best result],)</f>
        <v>95.63</v>
      </c>
      <c r="BC9">
        <f>_xlfn.XLOOKUP(Table126163169194[[#This Row],[ACA Number]],Table124161167192[ACA Number],Table124161167192[2nd Best Result])</f>
        <v>999.99</v>
      </c>
      <c r="BD9">
        <f>_xlfn.XLOOKUP(Table126163169194[[#This Row],[ACA Number]],Table125162168193[ACA Number],Table125162168193[Best result])</f>
        <v>40.18</v>
      </c>
      <c r="BE9">
        <f>_xlfn.XLOOKUP(Table126163169194[[#This Row],[ACA Number]],Table125162168193[ACA Number],Table125162168193[2nd Best Result])</f>
        <v>999.99</v>
      </c>
      <c r="BF9">
        <f t="shared" si="0"/>
        <v>3265.24</v>
      </c>
      <c r="BG9">
        <f>_xlfn.RANK.EQ(Table126163169194[[#This Row],[Total Points]],Table126163169194[Total Points],1)</f>
        <v>4</v>
      </c>
    </row>
    <row r="10" spans="1:59" x14ac:dyDescent="0.3">
      <c r="A10">
        <v>92157</v>
      </c>
      <c r="B10" t="s">
        <v>824</v>
      </c>
      <c r="C10" t="s">
        <v>817</v>
      </c>
      <c r="D10" t="e">
        <f>_xlfn.XLOOKUP(Table121158164189[[#This Row],[ACA Number]],Table1221[NAT Number],Table1221[run 1 points])</f>
        <v>#N/A</v>
      </c>
      <c r="E10" t="e">
        <f>_xlfn.XLOOKUP(Table121158164189[[#This Row],[ACA Number]],Table1221[NAT Number],Table1221[run 2 points])</f>
        <v>#N/A</v>
      </c>
      <c r="F10" t="e">
        <f>_xlfn.XLOOKUP(Table121158164189[[#This Row],[ACA Number]],Table122128[NAT Number],Table122128[run 1 points])</f>
        <v>#N/A</v>
      </c>
      <c r="G10" t="e">
        <f>_xlfn.XLOOKUP(Table121158164189[[#This Row],[ACA Number]],Table122128[NAT Number],Table122128[run 2 points])</f>
        <v>#N/A</v>
      </c>
      <c r="H10" t="e">
        <f>_xlfn.XLOOKUP(Table121158164189[[#This Row],[ACA Number]],Table122110193446587082[NAT Number],Table122110193446587082[run 1 points])</f>
        <v>#N/A</v>
      </c>
      <c r="I10" t="e">
        <f>_xlfn.XLOOKUP(Table121158164189[[#This Row],[ACA Number]],Table122110193446587082[NAT Number],Table122110193446587082[run 2 points])</f>
        <v>#N/A</v>
      </c>
      <c r="J10" cm="1">
        <f t="array" ref="J10">_xlfn.LET(_xlpm.r,Table121158164189[[#This Row],[PM SL1 R1]:[MF SL1 R2]],_xlpm.m,_xlfn.AGGREGATE(15,6,_xlpm.r/(_xlpm.r&lt;&gt;999.99),1),IFERROR(_xlpm.m,999.99))</f>
        <v>999.99</v>
      </c>
      <c r="L10">
        <v>92157</v>
      </c>
      <c r="M10" t="s">
        <v>824</v>
      </c>
      <c r="N10" t="s">
        <v>817</v>
      </c>
      <c r="O10" t="e">
        <f>_xlfn.XLOOKUP(Table122159165190[[#This Row],[ACA Number]],Table1271631[NAT Number],Table1271631[run 1 points])</f>
        <v>#N/A</v>
      </c>
      <c r="P10" t="e">
        <f>_xlfn.XLOOKUP(Table122159165190[[#This Row],[ACA Number]],Table1221101934[NAT Number],Table1221101934[run 1 points])</f>
        <v>#N/A</v>
      </c>
      <c r="Q10" cm="1">
        <f t="array" ref="Q10">_xlfn.LET(_xlpm.r,Table122159165190[[#This Row],[CM SG R1]:[CM SG R2]],_xlpm.m,_xlfn.AGGREGATE(15,6,_xlpm.r/(_xlpm.r&lt;&gt;999.99),1),IFERROR(_xlpm.m,999.99))</f>
        <v>999.99</v>
      </c>
      <c r="S10">
        <v>92157</v>
      </c>
      <c r="T10" t="s">
        <v>824</v>
      </c>
      <c r="U10" t="s">
        <v>817</v>
      </c>
      <c r="V10" t="e">
        <f>_xlfn.XLOOKUP(Table123160166191[[#This Row],[ACA Number]],Table1221101934465870100106[NAT Number],Table1221101934465870100106[run 1 points])</f>
        <v>#N/A</v>
      </c>
      <c r="W10" t="e">
        <f>_xlfn.XLOOKUP(Table123160166191[[#This Row],[ACA Number]],Table1221101934465870100106[NAT Number],Table1221101934465870100106[run 2 points])</f>
        <v>#N/A</v>
      </c>
      <c r="X10" t="e">
        <f>_xlfn.XLOOKUP(Table123160166191[[#This Row],[ACA Number]],Table1221101934465870100[NAT Number],Table1221101934465870100[run 1 points])</f>
        <v>#N/A</v>
      </c>
      <c r="Y10" t="e">
        <f>_xlfn.XLOOKUP(Table123160166191[[#This Row],[ACA Number]],Table1221101934465870100[NAT Number],Table1221101934465870100[run 2 points])</f>
        <v>#N/A</v>
      </c>
      <c r="Z10" t="e">
        <f>_xlfn.XLOOKUP(Table123160166191[[#This Row],[ACA Number]],Table1221101934465870[NAT Number],Table1221101934465870[run 1 points])</f>
        <v>#N/A</v>
      </c>
      <c r="AA10" t="e">
        <f>_xlfn.XLOOKUP(Table123160166191[[#This Row],[ACA Number]],Table1221101934465870[NAT Number],Table1221101934465870[run 2 points])</f>
        <v>#N/A</v>
      </c>
      <c r="AB10" cm="1">
        <f t="array" ref="AB10">_xlfn.LET(_xlpm.r,Table123160166191[[#This Row],[CM GS1 R1]:[MF GS R2]],_xlpm.m,_xlfn.AGGREGATE(15,6,_xlpm.r/(_xlpm.r&lt;&gt;999.99),1),IFERROR(_xlpm.m,999.99))</f>
        <v>999.99</v>
      </c>
      <c r="AD10">
        <v>92157</v>
      </c>
      <c r="AE10" t="s">
        <v>824</v>
      </c>
      <c r="AF10" t="s">
        <v>817</v>
      </c>
      <c r="AG10" t="e">
        <f>_xlfn.XLOOKUP(Table124161167192[[#This Row],[ACA Number]],Table1221[NAT Number],Table1221[TT race points])</f>
        <v>#N/A</v>
      </c>
      <c r="AH10" t="e">
        <f>_xlfn.XLOOKUP(Table124161167192[[#This Row],[ACA Number]],Table122128[NAT Number],Table122128[TT race points])</f>
        <v>#N/A</v>
      </c>
      <c r="AI10" t="e">
        <f>_xlfn.XLOOKUP(Table124161167192[[#This Row],[ACA Number]],Table122110193446587082[NAT Number],Table122110193446587082[TT race points])</f>
        <v>#N/A</v>
      </c>
      <c r="AJ10" cm="1">
        <f t="array" ref="AJ10">_xlfn.LET(_xlpm.r,Table124161167192[[#This Row],[PM SL1]:[MF SL]],_xlpm.m,_xlfn.AGGREGATE(15,6,_xlpm.r/(_xlpm.r&lt;&gt;999.99),1),IFERROR(_xlpm.m,999.99))</f>
        <v>999.99</v>
      </c>
      <c r="AK10" cm="1">
        <f t="array" ref="AK10">_xlfn.LET(_xlpm.r,Table124161167192[[#This Row],[PM SL1]:[MF SL]],_xlpm.m,_xlfn.AGGREGATE(15,6,_xlpm.r/(_xlpm.r&lt;&gt;999.99),2),IFERROR(_xlpm.m,999.99))</f>
        <v>999.99</v>
      </c>
      <c r="AM10">
        <v>92157</v>
      </c>
      <c r="AN10" t="s">
        <v>824</v>
      </c>
      <c r="AO10" t="s">
        <v>817</v>
      </c>
      <c r="AP10" t="e">
        <f>_xlfn.XLOOKUP(Table125162168193[[#This Row],[ACA Number]],Table1221101934465870100106[NAT Number],Table1221101934465870100106[TT race points])</f>
        <v>#N/A</v>
      </c>
      <c r="AQ10" t="e">
        <f>_xlfn.XLOOKUP(Table125162168193[[#This Row],[ACA Number]],Table1221101934465870100[NAT Number],Table1221101934465870100[TT race points])</f>
        <v>#N/A</v>
      </c>
      <c r="AR10" t="e">
        <f>_xlfn.XLOOKUP(Table125162168193[[#This Row],[ACA Number]],Table1221101934465870[NAT Number],Table1221101934465870[TT race points])</f>
        <v>#N/A</v>
      </c>
      <c r="AS10" cm="1">
        <f t="array" ref="AS10">_xlfn.LET(_xlpm.r,Table125162168193[[#This Row],[CM GS1]:[MF GS]],_xlpm.m,_xlfn.AGGREGATE(15,6,_xlpm.r/(_xlpm.r&lt;&gt;999.99),1),IFERROR(_xlpm.m,999.99))</f>
        <v>999.99</v>
      </c>
      <c r="AT10" cm="1">
        <f t="array" ref="AT10">_xlfn.LET(_xlpm.r,Table125162168193[[#This Row],[CM GS1]:[MF GS]],_xlpm.m,_xlfn.AGGREGATE(15,6,_xlpm.r/(_xlpm.r&lt;&gt;999.99),2),IFERROR(_xlpm.m,999.99))</f>
        <v>999.99</v>
      </c>
      <c r="AV10">
        <v>86514</v>
      </c>
      <c r="AW10" t="s">
        <v>821</v>
      </c>
      <c r="AX10" t="s">
        <v>817</v>
      </c>
      <c r="AY10">
        <f>_xlfn.XLOOKUP(Table126163169194[[#This Row],[ACA Number]],Table121158164189[ACA Number],Table121158164189[Best 1 run SL race])</f>
        <v>999.99</v>
      </c>
      <c r="AZ10">
        <f>_xlfn.XLOOKUP(Table126163169194[[#This Row],[ACA Number]],Table123160166191[ACA Number],Table123160166191[Best 1 Run])</f>
        <v>999.99</v>
      </c>
      <c r="BA10">
        <f>_xlfn.XLOOKUP(Table126163169194[[#This Row],[ACA Number]],Table122159165190[ACA Number],Table122159165190[Best 1 run GS Race])</f>
        <v>999.99</v>
      </c>
      <c r="BB10">
        <f>_xlfn.XLOOKUP(Table126163169194[[#This Row],[ACA Number]],Table124161167192[ACA Number],Table124161167192[Best result],)</f>
        <v>999.99</v>
      </c>
      <c r="BC10">
        <f>_xlfn.XLOOKUP(Table126163169194[[#This Row],[ACA Number]],Table124161167192[ACA Number],Table124161167192[2nd Best Result])</f>
        <v>999.99</v>
      </c>
      <c r="BD10">
        <f>_xlfn.XLOOKUP(Table126163169194[[#This Row],[ACA Number]],Table125162168193[ACA Number],Table125162168193[Best result])</f>
        <v>999.99</v>
      </c>
      <c r="BE10">
        <f>_xlfn.XLOOKUP(Table126163169194[[#This Row],[ACA Number]],Table125162168193[ACA Number],Table125162168193[2nd Best Result])</f>
        <v>999.99</v>
      </c>
      <c r="BF10">
        <f t="shared" si="0"/>
        <v>6999.9299999999994</v>
      </c>
      <c r="BG10">
        <f>_xlfn.RANK.EQ(Table126163169194[[#This Row],[Total Points]],Table126163169194[Total Points],1)</f>
        <v>6</v>
      </c>
    </row>
    <row r="11" spans="1:59" x14ac:dyDescent="0.3">
      <c r="A11">
        <v>117692</v>
      </c>
      <c r="B11" t="s">
        <v>825</v>
      </c>
      <c r="C11" t="s">
        <v>817</v>
      </c>
      <c r="D11">
        <f>_xlfn.XLOOKUP(Table121158164189[[#This Row],[ACA Number]],Table1221[NAT Number],Table1221[run 1 points])</f>
        <v>999.99</v>
      </c>
      <c r="E11">
        <f>_xlfn.XLOOKUP(Table121158164189[[#This Row],[ACA Number]],Table1221[NAT Number],Table1221[run 2 points])</f>
        <v>248.54</v>
      </c>
      <c r="F11">
        <f>_xlfn.XLOOKUP(Table121158164189[[#This Row],[ACA Number]],Table122128[NAT Number],Table122128[run 1 points])</f>
        <v>229.49</v>
      </c>
      <c r="G11">
        <f>_xlfn.XLOOKUP(Table121158164189[[#This Row],[ACA Number]],Table122128[NAT Number],Table122128[run 2 points])</f>
        <v>282.73</v>
      </c>
      <c r="H11">
        <f>_xlfn.XLOOKUP(Table121158164189[[#This Row],[ACA Number]],Table122110193446587082[NAT Number],Table122110193446587082[run 1 points])</f>
        <v>203.24</v>
      </c>
      <c r="I11">
        <f>_xlfn.XLOOKUP(Table121158164189[[#This Row],[ACA Number]],Table122110193446587082[NAT Number],Table122110193446587082[run 2 points])</f>
        <v>999.99</v>
      </c>
      <c r="J11" cm="1">
        <f t="array" ref="J11">_xlfn.LET(_xlpm.r,Table121158164189[[#This Row],[PM SL1 R1]:[MF SL1 R2]],_xlpm.m,_xlfn.AGGREGATE(15,6,_xlpm.r/(_xlpm.r&lt;&gt;999.99),1),IFERROR(_xlpm.m,999.99))</f>
        <v>203.24</v>
      </c>
      <c r="L11">
        <v>117692</v>
      </c>
      <c r="M11" t="s">
        <v>825</v>
      </c>
      <c r="N11" t="s">
        <v>817</v>
      </c>
      <c r="O11">
        <f>_xlfn.XLOOKUP(Table122159165190[[#This Row],[ACA Number]],Table1271631[NAT Number],Table1271631[run 1 points])</f>
        <v>999.99</v>
      </c>
      <c r="P11">
        <f>_xlfn.XLOOKUP(Table122159165190[[#This Row],[ACA Number]],Table1221101934[NAT Number],Table1221101934[run 1 points])</f>
        <v>239.85</v>
      </c>
      <c r="Q11" cm="1">
        <f t="array" ref="Q11">_xlfn.LET(_xlpm.r,Table122159165190[[#This Row],[CM SG R1]:[CM SG R2]],_xlpm.m,_xlfn.AGGREGATE(15,6,_xlpm.r/(_xlpm.r&lt;&gt;999.99),1),IFERROR(_xlpm.m,999.99))</f>
        <v>239.85</v>
      </c>
      <c r="S11">
        <v>117692</v>
      </c>
      <c r="T11" t="s">
        <v>825</v>
      </c>
      <c r="U11" t="s">
        <v>817</v>
      </c>
      <c r="V11">
        <f>_xlfn.XLOOKUP(Table123160166191[[#This Row],[ACA Number]],Table1221101934465870100106[NAT Number],Table1221101934465870100106[run 1 points])</f>
        <v>150.24</v>
      </c>
      <c r="W11">
        <f>_xlfn.XLOOKUP(Table123160166191[[#This Row],[ACA Number]],Table1221101934465870100106[NAT Number],Table1221101934465870100106[run 2 points])</f>
        <v>141.71</v>
      </c>
      <c r="X11">
        <f>_xlfn.XLOOKUP(Table123160166191[[#This Row],[ACA Number]],Table1221101934465870100[NAT Number],Table1221101934465870100[run 1 points])</f>
        <v>119.38</v>
      </c>
      <c r="Y11">
        <f>_xlfn.XLOOKUP(Table123160166191[[#This Row],[ACA Number]],Table1221101934465870100[NAT Number],Table1221101934465870100[run 2 points])</f>
        <v>142.94</v>
      </c>
      <c r="Z11">
        <f>_xlfn.XLOOKUP(Table123160166191[[#This Row],[ACA Number]],Table1221101934465870[NAT Number],Table1221101934465870[run 1 points])</f>
        <v>126.89</v>
      </c>
      <c r="AA11">
        <f>_xlfn.XLOOKUP(Table123160166191[[#This Row],[ACA Number]],Table1221101934465870[NAT Number],Table1221101934465870[run 2 points])</f>
        <v>119.62</v>
      </c>
      <c r="AB11" cm="1">
        <f t="array" ref="AB11">_xlfn.LET(_xlpm.r,Table123160166191[[#This Row],[CM GS1 R1]:[MF GS R2]],_xlpm.m,_xlfn.AGGREGATE(15,6,_xlpm.r/(_xlpm.r&lt;&gt;999.99),1),IFERROR(_xlpm.m,999.99))</f>
        <v>119.38</v>
      </c>
      <c r="AD11">
        <v>117692</v>
      </c>
      <c r="AE11" t="s">
        <v>825</v>
      </c>
      <c r="AF11" t="s">
        <v>817</v>
      </c>
      <c r="AG11">
        <f>_xlfn.XLOOKUP(Table124161167192[[#This Row],[ACA Number]],Table1221[NAT Number],Table1221[TT race points])</f>
        <v>999.99</v>
      </c>
      <c r="AH11">
        <f>_xlfn.XLOOKUP(Table124161167192[[#This Row],[ACA Number]],Table122128[NAT Number],Table122128[TT race points])</f>
        <v>249.94</v>
      </c>
      <c r="AI11">
        <f>_xlfn.XLOOKUP(Table124161167192[[#This Row],[ACA Number]],Table122110193446587082[NAT Number],Table122110193446587082[TT race points])</f>
        <v>999.99</v>
      </c>
      <c r="AJ11" cm="1">
        <f t="array" ref="AJ11">_xlfn.LET(_xlpm.r,Table124161167192[[#This Row],[PM SL1]:[MF SL]],_xlpm.m,_xlfn.AGGREGATE(15,6,_xlpm.r/(_xlpm.r&lt;&gt;999.99),1),IFERROR(_xlpm.m,999.99))</f>
        <v>249.94</v>
      </c>
      <c r="AK11" cm="1">
        <f t="array" ref="AK11">_xlfn.LET(_xlpm.r,Table124161167192[[#This Row],[PM SL1]:[MF SL]],_xlpm.m,_xlfn.AGGREGATE(15,6,_xlpm.r/(_xlpm.r&lt;&gt;999.99),2),IFERROR(_xlpm.m,999.99))</f>
        <v>999.99</v>
      </c>
      <c r="AM11">
        <v>117692</v>
      </c>
      <c r="AN11" t="s">
        <v>825</v>
      </c>
      <c r="AO11" t="s">
        <v>817</v>
      </c>
      <c r="AP11">
        <f>_xlfn.XLOOKUP(Table125162168193[[#This Row],[ACA Number]],Table1221101934465870100106[NAT Number],Table1221101934465870100106[TT race points])</f>
        <v>145.83000000000001</v>
      </c>
      <c r="AQ11">
        <f>_xlfn.XLOOKUP(Table125162168193[[#This Row],[ACA Number]],Table1221101934465870100[NAT Number],Table1221101934465870100[TT race points])</f>
        <v>130.86000000000001</v>
      </c>
      <c r="AR11">
        <f>_xlfn.XLOOKUP(Table125162168193[[#This Row],[ACA Number]],Table1221101934465870[NAT Number],Table1221101934465870[TT race points])</f>
        <v>114.84</v>
      </c>
      <c r="AS11" cm="1">
        <f t="array" ref="AS11">_xlfn.LET(_xlpm.r,Table125162168193[[#This Row],[CM GS1]:[MF GS]],_xlpm.m,_xlfn.AGGREGATE(15,6,_xlpm.r/(_xlpm.r&lt;&gt;999.99),1),IFERROR(_xlpm.m,999.99))</f>
        <v>114.84</v>
      </c>
      <c r="AT11" cm="1">
        <f t="array" ref="AT11">_xlfn.LET(_xlpm.r,Table125162168193[[#This Row],[CM GS1]:[MF GS]],_xlpm.m,_xlfn.AGGREGATE(15,6,_xlpm.r/(_xlpm.r&lt;&gt;999.99),2),IFERROR(_xlpm.m,999.99))</f>
        <v>130.86000000000001</v>
      </c>
      <c r="AV11">
        <v>92157</v>
      </c>
      <c r="AW11" t="s">
        <v>824</v>
      </c>
      <c r="AX11" t="s">
        <v>817</v>
      </c>
      <c r="AY11">
        <f>_xlfn.XLOOKUP(Table126163169194[[#This Row],[ACA Number]],Table121158164189[ACA Number],Table121158164189[Best 1 run SL race])</f>
        <v>999.99</v>
      </c>
      <c r="AZ11">
        <f>_xlfn.XLOOKUP(Table126163169194[[#This Row],[ACA Number]],Table123160166191[ACA Number],Table123160166191[Best 1 Run])</f>
        <v>999.99</v>
      </c>
      <c r="BA11">
        <f>_xlfn.XLOOKUP(Table126163169194[[#This Row],[ACA Number]],Table122159165190[ACA Number],Table122159165190[Best 1 run GS Race])</f>
        <v>999.99</v>
      </c>
      <c r="BB11">
        <f>_xlfn.XLOOKUP(Table126163169194[[#This Row],[ACA Number]],Table124161167192[ACA Number],Table124161167192[Best result],)</f>
        <v>999.99</v>
      </c>
      <c r="BC11">
        <f>_xlfn.XLOOKUP(Table126163169194[[#This Row],[ACA Number]],Table124161167192[ACA Number],Table124161167192[2nd Best Result])</f>
        <v>999.99</v>
      </c>
      <c r="BD11">
        <f>_xlfn.XLOOKUP(Table126163169194[[#This Row],[ACA Number]],Table125162168193[ACA Number],Table125162168193[Best result])</f>
        <v>999.99</v>
      </c>
      <c r="BE11">
        <f>_xlfn.XLOOKUP(Table126163169194[[#This Row],[ACA Number]],Table125162168193[ACA Number],Table125162168193[2nd Best Result])</f>
        <v>999.99</v>
      </c>
      <c r="BF11">
        <f t="shared" si="0"/>
        <v>6999.9299999999994</v>
      </c>
      <c r="BG11">
        <f>_xlfn.RANK.EQ(Table126163169194[[#This Row],[Total Points]],Table126163169194[Total Points],1)</f>
        <v>6</v>
      </c>
    </row>
  </sheetData>
  <mergeCells count="6">
    <mergeCell ref="AY1:BG1"/>
    <mergeCell ref="D1:J1"/>
    <mergeCell ref="O1:Q1"/>
    <mergeCell ref="V1:AB1"/>
    <mergeCell ref="AG1:AK1"/>
    <mergeCell ref="AP1:AT1"/>
  </mergeCells>
  <pageMargins left="0.7" right="0.7" top="0.75" bottom="0.75" header="0.3" footer="0.3"/>
  <tableParts count="6">
    <tablePart r:id="rId1"/>
    <tablePart r:id="rId2"/>
    <tablePart r:id="rId3"/>
    <tablePart r:id="rId4"/>
    <tablePart r:id="rId5"/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25</vt:i4>
      </vt:variant>
    </vt:vector>
  </HeadingPairs>
  <TitlesOfParts>
    <vt:vector size="25" baseType="lpstr">
      <vt:lpstr>NB Competitors</vt:lpstr>
      <vt:lpstr>PEI Competitors</vt:lpstr>
      <vt:lpstr>U12 Female</vt:lpstr>
      <vt:lpstr>U12 male</vt:lpstr>
      <vt:lpstr>U14 Female</vt:lpstr>
      <vt:lpstr>U14 male</vt:lpstr>
      <vt:lpstr>U16 Female</vt:lpstr>
      <vt:lpstr>U16 male</vt:lpstr>
      <vt:lpstr>U19 Female</vt:lpstr>
      <vt:lpstr>U19 male</vt:lpstr>
      <vt:lpstr>Poley SL 1 Female</vt:lpstr>
      <vt:lpstr>Poley SL 1 Male</vt:lpstr>
      <vt:lpstr>Poley SL 2 Female </vt:lpstr>
      <vt:lpstr>Poley SL 2 Male</vt:lpstr>
      <vt:lpstr>Crabbe SG Female</vt:lpstr>
      <vt:lpstr>Crabbe SG Male</vt:lpstr>
      <vt:lpstr>Crabbe GS1 Female</vt:lpstr>
      <vt:lpstr>Crabbe GS1 Male</vt:lpstr>
      <vt:lpstr>Crabbe GS2 Female</vt:lpstr>
      <vt:lpstr>Crabbe GS2 Male</vt:lpstr>
      <vt:lpstr>Farlagne GS Female</vt:lpstr>
      <vt:lpstr>Farlagne GS Male</vt:lpstr>
      <vt:lpstr>Farlagne SL Female</vt:lpstr>
      <vt:lpstr>Farlagne SL Male </vt:lpstr>
      <vt:lpstr>WC Pts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derrah</dc:creator>
  <cp:lastModifiedBy>Carla Macneil</cp:lastModifiedBy>
  <dcterms:created xsi:type="dcterms:W3CDTF">2026-01-13T14:07:34Z</dcterms:created>
  <dcterms:modified xsi:type="dcterms:W3CDTF">2026-03-13T13:30:21Z</dcterms:modified>
</cp:coreProperties>
</file>